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95" windowHeight="5295" firstSheet="2" activeTab="2"/>
  </bookViews>
  <sheets>
    <sheet name="SANTA CASA" sheetId="1" state="hidden" r:id="rId1"/>
    <sheet name="CONDENSADA" sheetId="2" state="hidden" r:id="rId2"/>
    <sheet name="Prestação 03 e 04 2021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<sst xmlns="http://schemas.openxmlformats.org/spreadsheetml/2006/main" count="199" uniqueCount="154">
  <si>
    <t>FORMAÇÃO DE CUSTOS MENSAIS</t>
  </si>
  <si>
    <t>ANGRA - HOSPITAL - EMERGENCIAL</t>
  </si>
  <si>
    <t>DESCRIÇÃO DOS CUSTOS</t>
  </si>
  <si>
    <t>%</t>
  </si>
  <si>
    <t>HOSPITAL</t>
  </si>
  <si>
    <t>VALOR MENSAL R$</t>
  </si>
  <si>
    <t>1 - DESPESAS COM PESSOAL</t>
  </si>
  <si>
    <t xml:space="preserve">  1.01 - Salários</t>
  </si>
  <si>
    <t xml:space="preserve">  1.02 - Insalubridade</t>
  </si>
  <si>
    <t xml:space="preserve">  1.03 - Adicional Noturno</t>
  </si>
  <si>
    <t xml:space="preserve">  1.04 - DSR</t>
  </si>
  <si>
    <t xml:space="preserve">  1.05 - Horas Extras</t>
  </si>
  <si>
    <t xml:space="preserve">  1.06 - Periculosidade</t>
  </si>
  <si>
    <t xml:space="preserve">  1.07 - Encargos Trabalhistas</t>
  </si>
  <si>
    <t xml:space="preserve">  1.08 - PIS S/Folha de Pagamento</t>
  </si>
  <si>
    <t xml:space="preserve">  1.09 - Vale Transporte (Deduzido 6%)</t>
  </si>
  <si>
    <t xml:space="preserve">  1.10 - Plano de Saúde</t>
  </si>
  <si>
    <t xml:space="preserve">  1.11 - Plano Odontológico</t>
  </si>
  <si>
    <t xml:space="preserve">  1.13 - SESMT</t>
  </si>
  <si>
    <t xml:space="preserve">  1.14 - Seguro de Vida</t>
  </si>
  <si>
    <t xml:space="preserve">  1.15 - Contratação de PJ - Médicos</t>
  </si>
  <si>
    <t>2 - MATERIAIS E MEDICAMENTOS</t>
  </si>
  <si>
    <t xml:space="preserve">   2.01 - Medicamentos</t>
  </si>
  <si>
    <t xml:space="preserve">   2.02 - Materiais de Consumo</t>
  </si>
  <si>
    <t xml:space="preserve">   2.03 - Material de Limpeza e Esterilização</t>
  </si>
  <si>
    <t xml:space="preserve">   2.04 - Gases Medicinais</t>
  </si>
  <si>
    <t xml:space="preserve">   2.05 - Gás GLP</t>
  </si>
  <si>
    <t xml:space="preserve">   2.06 - ROUPARIA</t>
  </si>
  <si>
    <t xml:space="preserve">   2.07 - Despesas com Implantação do Projeto</t>
  </si>
  <si>
    <t>3 - ÁREA DE APOIO</t>
  </si>
  <si>
    <t xml:space="preserve">   3.01 - Água e Esgoto</t>
  </si>
  <si>
    <t xml:space="preserve">   3.02 - Energia Elétrica</t>
  </si>
  <si>
    <t xml:space="preserve">   3.03 - Telefone/Banda Larga</t>
  </si>
  <si>
    <t xml:space="preserve">   3.04 - Alimentação</t>
  </si>
  <si>
    <t xml:space="preserve">   3.05 - Alimentação - Água Mineral e Outros </t>
  </si>
  <si>
    <t xml:space="preserve">   3.06 - Alimentação - ENTERAL</t>
  </si>
  <si>
    <t xml:space="preserve">   3.07 - Alimentação - PARENTERAL</t>
  </si>
  <si>
    <t xml:space="preserve">   3.08 - Coleta de Resíduos Hospitalares</t>
  </si>
  <si>
    <t xml:space="preserve">   3.09 - Limpeza e Conservação (SEM MATERIAIS)</t>
  </si>
  <si>
    <t xml:space="preserve">   3.10 - Lavanderia</t>
  </si>
  <si>
    <t xml:space="preserve">   3.11 - Esterilização</t>
  </si>
  <si>
    <t xml:space="preserve">   3.12 - Exames Laboratoriais</t>
  </si>
  <si>
    <r>
      <t xml:space="preserve">   3.13 - Exames Laboratoriais - </t>
    </r>
    <r>
      <rPr>
        <b/>
        <sz val="9"/>
        <rFont val="Arial"/>
        <family val="2"/>
      </rPr>
      <t>Exames Extras</t>
    </r>
  </si>
  <si>
    <t xml:space="preserve">   3.14 - Exames de Imagem - SADT - RX, TC, US</t>
  </si>
  <si>
    <t xml:space="preserve">   3.15 - Manutenção de Equipamentos em Geral</t>
  </si>
  <si>
    <t xml:space="preserve">   3.16 - Manutenção Predial</t>
  </si>
  <si>
    <t xml:space="preserve">   3.17 - Manutenção Preventiva (Equipamentos Hospitalares)</t>
  </si>
  <si>
    <t xml:space="preserve">   3.18 - Manutenção de Elevadores</t>
  </si>
  <si>
    <t xml:space="preserve">   3.19 - Manutenção de Infraestrutura e Rede</t>
  </si>
  <si>
    <t xml:space="preserve">   3.20 - Manutenção de Gerador</t>
  </si>
  <si>
    <t xml:space="preserve">   3.21 - Manutenção de Telefonia</t>
  </si>
  <si>
    <t xml:space="preserve">   3.22 - Manutenção Sistema de Energia Solar</t>
  </si>
  <si>
    <t xml:space="preserve">   3.23 - Manutenção Compressores de Ar Comprimido</t>
  </si>
  <si>
    <t xml:space="preserve">   3.24 - Manutenção de Bombas de Vácuo</t>
  </si>
  <si>
    <t xml:space="preserve">   3.25 - Manutenção de Equipamentos Diversos</t>
  </si>
  <si>
    <t xml:space="preserve">   3.26 - Seguros</t>
  </si>
  <si>
    <t xml:space="preserve">   3.27 - Serviços de Dedetização</t>
  </si>
  <si>
    <t xml:space="preserve">   3.28 - Serviços de Hemodiálise</t>
  </si>
  <si>
    <t xml:space="preserve">   3.29 - Implementação de Rede</t>
  </si>
  <si>
    <t xml:space="preserve">   3.30 - Material Para Manutenção Predial</t>
  </si>
  <si>
    <t xml:space="preserve">   3.31 - Serviços de Vigilância</t>
  </si>
  <si>
    <t xml:space="preserve">   3.33 - Locação de UTI Móvel</t>
  </si>
  <si>
    <t xml:space="preserve">   3.34 - Locação de Equipamentos Diversos e de Informática</t>
  </si>
  <si>
    <t xml:space="preserve">   3.35 - Programação Visual/Comunicação</t>
  </si>
  <si>
    <t xml:space="preserve">   3.36 - Uniformes</t>
  </si>
  <si>
    <t xml:space="preserve">   3.37 - Transporte de Médicos RJ X Angra</t>
  </si>
  <si>
    <t xml:space="preserve">   3.38 - Reposição de Peças e Materiais Para Manutenção</t>
  </si>
  <si>
    <t xml:space="preserve">   3.39 - Reposição de Peças Para Manutenção Redes e Periféricos</t>
  </si>
  <si>
    <t xml:space="preserve">   3.40 - Locação de Carro Administrativo</t>
  </si>
  <si>
    <t>4 - GERENCIAIS E ADMINISTRATIVAS</t>
  </si>
  <si>
    <t xml:space="preserve">    4.01 - Assessoria Jurídica</t>
  </si>
  <si>
    <t xml:space="preserve">    4.02 - Auditoria Contábil, Fiscal e Financeira</t>
  </si>
  <si>
    <t xml:space="preserve">    4.03 - Contabilidade</t>
  </si>
  <si>
    <t xml:space="preserve">    4.04 - Eventos/Seminários/Educação Permanente</t>
  </si>
  <si>
    <t xml:space="preserve">    4.05 - Material de Escritório e de Consumo</t>
  </si>
  <si>
    <t xml:space="preserve">    4.06 - Tecnologia da Informação/Monitoramento/Comunicação</t>
  </si>
  <si>
    <t xml:space="preserve">    4.08 - Outras Despesas Operacionais</t>
  </si>
  <si>
    <t xml:space="preserve">    4.09 - Serviço de Impressão e Cópia</t>
  </si>
  <si>
    <t xml:space="preserve">    4.10 - Gestão do Trabalho</t>
  </si>
  <si>
    <t xml:space="preserve">    4.11 - </t>
  </si>
  <si>
    <t>T  O  T  A  L     D  E     C  U  S  T  E  I  O</t>
  </si>
  <si>
    <t>5 - OUTROS CUSTOS</t>
  </si>
  <si>
    <t xml:space="preserve">    5.01 - Rateio de Despesas Operacionais da Gestora</t>
  </si>
  <si>
    <t xml:space="preserve">    5.02 - Lucro</t>
  </si>
  <si>
    <t xml:space="preserve">    5.03 - TRIBUTOS</t>
  </si>
  <si>
    <t xml:space="preserve">       5.03.1 - PIS </t>
  </si>
  <si>
    <t xml:space="preserve">       5.03.2 - COFINS</t>
  </si>
  <si>
    <t xml:space="preserve">       5.03.3 - IRPJ</t>
  </si>
  <si>
    <t xml:space="preserve">       5.03.4 - CSLL</t>
  </si>
  <si>
    <t xml:space="preserve">       5.03.5 - ISS</t>
  </si>
  <si>
    <t>T  O  T  A  L     G  E  R  A  L    M  E  N  S  A  L</t>
  </si>
  <si>
    <t>CUSTOS APRESENTADOS NA PRIMEIRA PLANILHA</t>
  </si>
  <si>
    <t>EMPRESA PRIVADA</t>
  </si>
  <si>
    <t xml:space="preserve">   3.32 - Locação de Tendas</t>
  </si>
  <si>
    <t>ANGRA - EMERGENCIAL</t>
  </si>
  <si>
    <t>TENDA</t>
  </si>
  <si>
    <t>TOTAL</t>
  </si>
  <si>
    <t xml:space="preserve">    4.07 - Gestão do Trabalho</t>
  </si>
  <si>
    <t xml:space="preserve">  1.05 - Encargos Trabalhistas</t>
  </si>
  <si>
    <t xml:space="preserve">  1.06 - PIS S/Folha de Pagamento</t>
  </si>
  <si>
    <t xml:space="preserve">  1.07 - Pessoal (RPA)</t>
  </si>
  <si>
    <t xml:space="preserve">  1.08 - Insalubridade (RPA)</t>
  </si>
  <si>
    <t xml:space="preserve">  1.09 - Adicional Noturno (RPA)</t>
  </si>
  <si>
    <t xml:space="preserve">  1.10 - DSR (RPA)</t>
  </si>
  <si>
    <t xml:space="preserve">  1.11 - Encargos Trabalhistas (RPA)</t>
  </si>
  <si>
    <t>ALTERAÇÕES EFETUADAS:</t>
  </si>
  <si>
    <t>1) Redução nos Encargos</t>
  </si>
  <si>
    <t xml:space="preserve">  1.07 - Vale Transporte (Deduzido 6%)</t>
  </si>
  <si>
    <t xml:space="preserve">  1.08 - SESMT</t>
  </si>
  <si>
    <t xml:space="preserve">  1.09 - Seguro de Vida</t>
  </si>
  <si>
    <t xml:space="preserve">  1.10 - Contratação de PJ - Médicos</t>
  </si>
  <si>
    <t>INV</t>
  </si>
  <si>
    <t xml:space="preserve">   3.05 - Alimentação - ENTERAL</t>
  </si>
  <si>
    <t xml:space="preserve">   3.06 - Coleta de Resíduos Hospitalares</t>
  </si>
  <si>
    <t xml:space="preserve">   3.07 - Limpeza e Conservação (SEM MATERIAIS)</t>
  </si>
  <si>
    <t xml:space="preserve">   3.08 - Lavanderia</t>
  </si>
  <si>
    <t xml:space="preserve">   3.09 - Locação de Equipamnetos Para Esterilização</t>
  </si>
  <si>
    <t xml:space="preserve">   3.10 - Esterelização (Serviço)</t>
  </si>
  <si>
    <t xml:space="preserve">   3.11 - Exames Laboratoriais</t>
  </si>
  <si>
    <t xml:space="preserve">   3.12 - Exames de Imagem - SADT - RX, TC, US</t>
  </si>
  <si>
    <t xml:space="preserve">   3.13 - Manutenção de Equipamentos em Geral</t>
  </si>
  <si>
    <t xml:space="preserve">   3.14 - Manutenção Predial</t>
  </si>
  <si>
    <t xml:space="preserve">   3.15 - Manutenção Preventiva (Equipamentos Hospitalares)</t>
  </si>
  <si>
    <t xml:space="preserve">   3.16 - Manutenção de Infraestrutura e Rede</t>
  </si>
  <si>
    <t xml:space="preserve">   3.17 - Manutenção Sistema de Ar Condicionado</t>
  </si>
  <si>
    <t xml:space="preserve">   3.18 - Locação da Tenda (REFEITÓRIO)</t>
  </si>
  <si>
    <t xml:space="preserve">   3.19 - Serviços de Dedetização</t>
  </si>
  <si>
    <t xml:space="preserve">   3.20 - Locação de Equipamentos de Raio-X Móvel + DR</t>
  </si>
  <si>
    <t xml:space="preserve">   3.21 - Implementação de Rede</t>
  </si>
  <si>
    <t xml:space="preserve">   3.22 - Material Para Manutenção Predial</t>
  </si>
  <si>
    <t xml:space="preserve">   3.23 - Serviços de Vigilância</t>
  </si>
  <si>
    <t xml:space="preserve">   3.24 - Locação de UTI Móvel</t>
  </si>
  <si>
    <t xml:space="preserve">   3.25 - Locação de Equipamentos Diversos e de Informática</t>
  </si>
  <si>
    <t xml:space="preserve">   3.26 - Programação Visual/Comunicação</t>
  </si>
  <si>
    <t xml:space="preserve">   3.27 - Uniformes</t>
  </si>
  <si>
    <t xml:space="preserve">   3.28 - Reposição de Peças Para Manutenção</t>
  </si>
  <si>
    <t xml:space="preserve">   3.29 - Locação de Carro Administrativo</t>
  </si>
  <si>
    <t xml:space="preserve">    4.02 - Contabilidade</t>
  </si>
  <si>
    <t xml:space="preserve">    4.03 - Eventos/Seminários/Educação Permanente</t>
  </si>
  <si>
    <t xml:space="preserve">    4.04 - Material de Escritório e de Consumo</t>
  </si>
  <si>
    <t xml:space="preserve">    4.05 - Tecnologia da Informação/Monitoramento/Comunicação</t>
  </si>
  <si>
    <t xml:space="preserve">    4.06 - Serviço de Impressão e Cópia</t>
  </si>
  <si>
    <t>2) Acertando Quadro de Pessoal (518)</t>
  </si>
  <si>
    <t>ITENS DE CUSTEIO</t>
  </si>
  <si>
    <t>A – Pessoal</t>
  </si>
  <si>
    <t>B - Materiais e Medicamentos</t>
  </si>
  <si>
    <t>C - Área de Apoio</t>
  </si>
  <si>
    <t>D - Gerenciais e Administrativas</t>
  </si>
  <si>
    <t>E - Impostos Retidos</t>
  </si>
  <si>
    <t xml:space="preserve">TOTAL GERAL DO CONTRATO DE GESTÃO </t>
  </si>
  <si>
    <t>Total</t>
  </si>
  <si>
    <t>RESUMO GERAL DAS RUBRICAS - HOSPITAL DE ANGRA - CENTRO DE REFERÊNCIA</t>
  </si>
  <si>
    <t>PRESTAÇÃO DE CONTAS</t>
  </si>
  <si>
    <t>Itens de Investimentos*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</si>
</sst>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#,##0.00_ ;[Red]\-#,##0.00\ "/>
    <numFmt numFmtId="166" formatCode="0_ ;[Red]\-0\ "/>
    <numFmt numFmtId="167" formatCode="0.0000"/>
    <numFmt numFmtId="168" formatCode="0.000"/>
    <numFmt numFmtId="169" formatCode="[$-416]dddd\,\ d&quot; de &quot;mmmm&quot; de &quot;yyyy"/>
    <numFmt numFmtId="170" formatCode="[$-416]mmmm\-yy;@"/>
    <numFmt numFmtId="171" formatCode="#,##0.00;[Red]#,##0.00"/>
    <numFmt numFmtId="172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i/>
      <sz val="9"/>
      <color indexed="22"/>
      <name val="Arial"/>
      <family val="2"/>
    </font>
    <font>
      <b/>
      <i/>
      <sz val="11"/>
      <color indexed="8"/>
      <name val="Calibri"/>
      <family val="2"/>
    </font>
    <font>
      <b/>
      <i/>
      <sz val="16"/>
      <color indexed="56"/>
      <name val="Calibri"/>
      <family val="2"/>
    </font>
    <font>
      <b/>
      <i/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i/>
      <sz val="9"/>
      <color theme="0" tint="-0.04997999966144562"/>
      <name val="Arial"/>
      <family val="2"/>
    </font>
    <font>
      <b/>
      <i/>
      <sz val="11"/>
      <color theme="1"/>
      <name val="Calibri"/>
      <family val="2"/>
    </font>
    <font>
      <b/>
      <i/>
      <sz val="16"/>
      <color rgb="FF002060"/>
      <name val="Calibri"/>
      <family val="2"/>
    </font>
    <font>
      <b/>
      <sz val="11"/>
      <color rgb="FF002060"/>
      <name val="Calibri"/>
      <family val="2"/>
    </font>
    <font>
      <b/>
      <i/>
      <sz val="12"/>
      <color rgb="FF00206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3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4" fontId="4" fillId="33" borderId="11" xfId="0" applyNumberFormat="1" applyFont="1" applyFill="1" applyBorder="1" applyAlignment="1" applyProtection="1">
      <alignment vertical="center"/>
      <protection hidden="1"/>
    </xf>
    <xf numFmtId="4" fontId="4" fillId="33" borderId="12" xfId="0" applyNumberFormat="1" applyFont="1" applyFill="1" applyBorder="1" applyAlignment="1" applyProtection="1">
      <alignment vertical="center"/>
      <protection hidden="1"/>
    </xf>
    <xf numFmtId="4" fontId="4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/>
      <protection hidden="1"/>
    </xf>
    <xf numFmtId="3" fontId="6" fillId="34" borderId="15" xfId="0" applyNumberFormat="1" applyFont="1" applyFill="1" applyBorder="1" applyAlignment="1" applyProtection="1">
      <alignment horizontal="center"/>
      <protection hidden="1"/>
    </xf>
    <xf numFmtId="0" fontId="5" fillId="34" borderId="16" xfId="0" applyFont="1" applyFill="1" applyBorder="1" applyAlignment="1" applyProtection="1">
      <alignment/>
      <protection hidden="1"/>
    </xf>
    <xf numFmtId="1" fontId="6" fillId="34" borderId="17" xfId="0" applyNumberFormat="1" applyFont="1" applyFill="1" applyBorder="1" applyAlignment="1" applyProtection="1">
      <alignment horizontal="center"/>
      <protection hidden="1"/>
    </xf>
    <xf numFmtId="4" fontId="5" fillId="34" borderId="18" xfId="0" applyNumberFormat="1" applyFont="1" applyFill="1" applyBorder="1" applyAlignment="1" applyProtection="1">
      <alignment horizontal="right"/>
      <protection hidden="1"/>
    </xf>
    <xf numFmtId="4" fontId="6" fillId="34" borderId="19" xfId="0" applyNumberFormat="1" applyFont="1" applyFill="1" applyBorder="1" applyAlignment="1" applyProtection="1">
      <alignment/>
      <protection hidden="1"/>
    </xf>
    <xf numFmtId="4" fontId="5" fillId="34" borderId="20" xfId="0" applyNumberFormat="1" applyFont="1" applyFill="1" applyBorder="1" applyAlignment="1" applyProtection="1">
      <alignment horizontal="right"/>
      <protection hidden="1"/>
    </xf>
    <xf numFmtId="2" fontId="6" fillId="34" borderId="17" xfId="0" applyNumberFormat="1" applyFont="1" applyFill="1" applyBorder="1" applyAlignment="1" applyProtection="1">
      <alignment horizontal="center"/>
      <protection hidden="1"/>
    </xf>
    <xf numFmtId="38" fontId="6" fillId="34" borderId="17" xfId="0" applyNumberFormat="1" applyFont="1" applyFill="1" applyBorder="1" applyAlignment="1" applyProtection="1">
      <alignment horizontal="center"/>
      <protection hidden="1"/>
    </xf>
    <xf numFmtId="2" fontId="4" fillId="34" borderId="17" xfId="0" applyNumberFormat="1" applyFont="1" applyFill="1" applyBorder="1" applyAlignment="1" applyProtection="1">
      <alignment horizontal="center"/>
      <protection hidden="1"/>
    </xf>
    <xf numFmtId="4" fontId="7" fillId="34" borderId="20" xfId="0" applyNumberFormat="1" applyFont="1" applyFill="1" applyBorder="1" applyAlignment="1" applyProtection="1">
      <alignment horizontal="right"/>
      <protection hidden="1"/>
    </xf>
    <xf numFmtId="0" fontId="5" fillId="34" borderId="21" xfId="0" applyFont="1" applyFill="1" applyBorder="1" applyAlignment="1" applyProtection="1">
      <alignment/>
      <protection hidden="1"/>
    </xf>
    <xf numFmtId="40" fontId="6" fillId="34" borderId="17" xfId="0" applyNumberFormat="1" applyFont="1" applyFill="1" applyBorder="1" applyAlignment="1" applyProtection="1">
      <alignment horizontal="center"/>
      <protection hidden="1"/>
    </xf>
    <xf numFmtId="0" fontId="5" fillId="34" borderId="21" xfId="0" applyFont="1" applyFill="1" applyBorder="1" applyAlignment="1" applyProtection="1">
      <alignment/>
      <protection locked="0"/>
    </xf>
    <xf numFmtId="4" fontId="4" fillId="33" borderId="11" xfId="0" applyNumberFormat="1" applyFont="1" applyFill="1" applyBorder="1" applyAlignment="1" applyProtection="1">
      <alignment horizontal="right" vertical="center"/>
      <protection hidden="1"/>
    </xf>
    <xf numFmtId="4" fontId="4" fillId="33" borderId="13" xfId="0" applyNumberFormat="1" applyFont="1" applyFill="1" applyBorder="1" applyAlignment="1" applyProtection="1">
      <alignment horizontal="right" vertical="center"/>
      <protection hidden="1"/>
    </xf>
    <xf numFmtId="4" fontId="6" fillId="34" borderId="15" xfId="0" applyNumberFormat="1" applyFont="1" applyFill="1" applyBorder="1" applyAlignment="1" applyProtection="1">
      <alignment horizontal="right"/>
      <protection hidden="1"/>
    </xf>
    <xf numFmtId="4" fontId="6" fillId="34" borderId="17" xfId="0" applyNumberFormat="1" applyFont="1" applyFill="1" applyBorder="1" applyAlignment="1" applyProtection="1">
      <alignment horizontal="right"/>
      <protection hidden="1"/>
    </xf>
    <xf numFmtId="4" fontId="6" fillId="34" borderId="22" xfId="0" applyNumberFormat="1" applyFont="1" applyFill="1" applyBorder="1" applyAlignment="1" applyProtection="1">
      <alignment horizontal="right"/>
      <protection hidden="1"/>
    </xf>
    <xf numFmtId="4" fontId="6" fillId="34" borderId="15" xfId="0" applyNumberFormat="1" applyFont="1" applyFill="1" applyBorder="1" applyAlignment="1" applyProtection="1">
      <alignment horizontal="center"/>
      <protection hidden="1"/>
    </xf>
    <xf numFmtId="4" fontId="5" fillId="34" borderId="21" xfId="0" applyNumberFormat="1" applyFont="1" applyFill="1" applyBorder="1" applyAlignment="1" applyProtection="1">
      <alignment/>
      <protection hidden="1"/>
    </xf>
    <xf numFmtId="4" fontId="6" fillId="34" borderId="17" xfId="0" applyNumberFormat="1" applyFont="1" applyFill="1" applyBorder="1" applyAlignment="1" applyProtection="1">
      <alignment horizontal="center"/>
      <protection hidden="1"/>
    </xf>
    <xf numFmtId="4" fontId="5" fillId="34" borderId="23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4" fontId="48" fillId="34" borderId="17" xfId="0" applyNumberFormat="1" applyFont="1" applyFill="1" applyBorder="1" applyAlignment="1" applyProtection="1">
      <alignment horizontal="right"/>
      <protection hidden="1"/>
    </xf>
    <xf numFmtId="4" fontId="5" fillId="34" borderId="23" xfId="0" applyNumberFormat="1" applyFont="1" applyFill="1" applyBorder="1" applyAlignment="1" applyProtection="1">
      <alignment/>
      <protection locked="0"/>
    </xf>
    <xf numFmtId="4" fontId="6" fillId="34" borderId="24" xfId="0" applyNumberFormat="1" applyFont="1" applyFill="1" applyBorder="1" applyAlignment="1" applyProtection="1">
      <alignment horizontal="right"/>
      <protection hidden="1"/>
    </xf>
    <xf numFmtId="4" fontId="5" fillId="34" borderId="25" xfId="0" applyNumberFormat="1" applyFont="1" applyFill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hidden="1"/>
    </xf>
    <xf numFmtId="4" fontId="6" fillId="0" borderId="27" xfId="0" applyNumberFormat="1" applyFont="1" applyBorder="1" applyAlignment="1" applyProtection="1">
      <alignment horizontal="right"/>
      <protection hidden="1"/>
    </xf>
    <xf numFmtId="4" fontId="49" fillId="33" borderId="11" xfId="0" applyNumberFormat="1" applyFont="1" applyFill="1" applyBorder="1" applyAlignment="1" applyProtection="1">
      <alignment horizontal="right" vertical="center"/>
      <protection hidden="1"/>
    </xf>
    <xf numFmtId="4" fontId="6" fillId="10" borderId="24" xfId="0" applyNumberFormat="1" applyFont="1" applyFill="1" applyBorder="1" applyAlignment="1" applyProtection="1">
      <alignment horizontal="center"/>
      <protection locked="0"/>
    </xf>
    <xf numFmtId="4" fontId="4" fillId="34" borderId="21" xfId="0" applyNumberFormat="1" applyFont="1" applyFill="1" applyBorder="1" applyAlignment="1" applyProtection="1">
      <alignment/>
      <protection hidden="1"/>
    </xf>
    <xf numFmtId="4" fontId="4" fillId="34" borderId="24" xfId="0" applyNumberFormat="1" applyFont="1" applyFill="1" applyBorder="1" applyAlignment="1" applyProtection="1">
      <alignment horizontal="center"/>
      <protection hidden="1"/>
    </xf>
    <xf numFmtId="0" fontId="50" fillId="0" borderId="0" xfId="0" applyFont="1" applyAlignment="1" applyProtection="1">
      <alignment/>
      <protection hidden="1"/>
    </xf>
    <xf numFmtId="4" fontId="5" fillId="4" borderId="21" xfId="0" applyNumberFormat="1" applyFont="1" applyFill="1" applyBorder="1" applyAlignment="1" applyProtection="1">
      <alignment/>
      <protection hidden="1"/>
    </xf>
    <xf numFmtId="0" fontId="5" fillId="4" borderId="21" xfId="0" applyFont="1" applyFill="1" applyBorder="1" applyAlignment="1" applyProtection="1">
      <alignment/>
      <protection hidden="1"/>
    </xf>
    <xf numFmtId="4" fontId="6" fillId="10" borderId="22" xfId="0" applyNumberFormat="1" applyFont="1" applyFill="1" applyBorder="1" applyAlignment="1" applyProtection="1">
      <alignment horizontal="center"/>
      <protection locked="0"/>
    </xf>
    <xf numFmtId="4" fontId="9" fillId="33" borderId="12" xfId="0" applyNumberFormat="1" applyFont="1" applyFill="1" applyBorder="1" applyAlignment="1" applyProtection="1">
      <alignment/>
      <protection hidden="1"/>
    </xf>
    <xf numFmtId="4" fontId="10" fillId="33" borderId="13" xfId="48" applyNumberFormat="1" applyFont="1" applyFill="1" applyBorder="1" applyAlignment="1" applyProtection="1">
      <alignment horizontal="right"/>
      <protection hidden="1"/>
    </xf>
    <xf numFmtId="0" fontId="4" fillId="34" borderId="28" xfId="0" applyFont="1" applyFill="1" applyBorder="1" applyAlignment="1" applyProtection="1">
      <alignment horizontal="center" vertical="center"/>
      <protection hidden="1"/>
    </xf>
    <xf numFmtId="4" fontId="47" fillId="0" borderId="0" xfId="0" applyNumberFormat="1" applyFont="1" applyAlignment="1" applyProtection="1">
      <alignment/>
      <protection hidden="1"/>
    </xf>
    <xf numFmtId="164" fontId="0" fillId="0" borderId="0" xfId="62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4" fontId="4" fillId="33" borderId="29" xfId="0" applyNumberFormat="1" applyFont="1" applyFill="1" applyBorder="1" applyAlignment="1" applyProtection="1">
      <alignment vertical="center"/>
      <protection hidden="1"/>
    </xf>
    <xf numFmtId="165" fontId="4" fillId="33" borderId="13" xfId="0" applyNumberFormat="1" applyFont="1" applyFill="1" applyBorder="1" applyAlignment="1" applyProtection="1">
      <alignment vertical="center"/>
      <protection hidden="1"/>
    </xf>
    <xf numFmtId="4" fontId="6" fillId="34" borderId="15" xfId="0" applyNumberFormat="1" applyFont="1" applyFill="1" applyBorder="1" applyAlignment="1" applyProtection="1">
      <alignment/>
      <protection hidden="1"/>
    </xf>
    <xf numFmtId="4" fontId="5" fillId="34" borderId="30" xfId="0" applyNumberFormat="1" applyFont="1" applyFill="1" applyBorder="1" applyAlignment="1" applyProtection="1">
      <alignment/>
      <protection hidden="1"/>
    </xf>
    <xf numFmtId="4" fontId="5" fillId="34" borderId="31" xfId="0" applyNumberFormat="1" applyFont="1" applyFill="1" applyBorder="1" applyAlignment="1" applyProtection="1">
      <alignment horizontal="right"/>
      <protection hidden="1"/>
    </xf>
    <xf numFmtId="164" fontId="0" fillId="0" borderId="32" xfId="62" applyNumberFormat="1" applyFont="1" applyBorder="1" applyAlignment="1" applyProtection="1">
      <alignment/>
      <protection hidden="1"/>
    </xf>
    <xf numFmtId="165" fontId="0" fillId="0" borderId="33" xfId="0" applyNumberFormat="1" applyBorder="1" applyAlignment="1" applyProtection="1">
      <alignment vertical="center"/>
      <protection hidden="1"/>
    </xf>
    <xf numFmtId="4" fontId="5" fillId="34" borderId="34" xfId="0" applyNumberFormat="1" applyFont="1" applyFill="1" applyBorder="1" applyAlignment="1" applyProtection="1">
      <alignment/>
      <protection hidden="1"/>
    </xf>
    <xf numFmtId="4" fontId="5" fillId="34" borderId="35" xfId="0" applyNumberFormat="1" applyFont="1" applyFill="1" applyBorder="1" applyAlignment="1" applyProtection="1">
      <alignment horizontal="right"/>
      <protection hidden="1"/>
    </xf>
    <xf numFmtId="164" fontId="0" fillId="0" borderId="34" xfId="62" applyNumberFormat="1" applyFont="1" applyBorder="1" applyAlignment="1" applyProtection="1">
      <alignment/>
      <protection hidden="1"/>
    </xf>
    <xf numFmtId="165" fontId="0" fillId="0" borderId="18" xfId="0" applyNumberFormat="1" applyBorder="1" applyAlignment="1" applyProtection="1">
      <alignment vertical="center"/>
      <protection hidden="1"/>
    </xf>
    <xf numFmtId="4" fontId="5" fillId="34" borderId="36" xfId="0" applyNumberFormat="1" applyFont="1" applyFill="1" applyBorder="1" applyAlignment="1" applyProtection="1">
      <alignment/>
      <protection hidden="1"/>
    </xf>
    <xf numFmtId="4" fontId="5" fillId="34" borderId="37" xfId="0" applyNumberFormat="1" applyFont="1" applyFill="1" applyBorder="1" applyAlignment="1" applyProtection="1">
      <alignment horizontal="right"/>
      <protection hidden="1"/>
    </xf>
    <xf numFmtId="4" fontId="7" fillId="34" borderId="36" xfId="0" applyNumberFormat="1" applyFont="1" applyFill="1" applyBorder="1" applyAlignment="1" applyProtection="1">
      <alignment/>
      <protection hidden="1"/>
    </xf>
    <xf numFmtId="4" fontId="7" fillId="34" borderId="37" xfId="0" applyNumberFormat="1" applyFont="1" applyFill="1" applyBorder="1" applyAlignment="1" applyProtection="1">
      <alignment horizontal="right"/>
      <protection hidden="1"/>
    </xf>
    <xf numFmtId="4" fontId="5" fillId="34" borderId="37" xfId="0" applyNumberFormat="1" applyFont="1" applyFill="1" applyBorder="1" applyAlignment="1" applyProtection="1">
      <alignment horizontal="right"/>
      <protection locked="0"/>
    </xf>
    <xf numFmtId="164" fontId="0" fillId="0" borderId="38" xfId="62" applyNumberFormat="1" applyFont="1" applyBorder="1" applyAlignment="1" applyProtection="1">
      <alignment/>
      <protection hidden="1"/>
    </xf>
    <xf numFmtId="165" fontId="0" fillId="0" borderId="39" xfId="0" applyNumberFormat="1" applyBorder="1" applyAlignment="1" applyProtection="1">
      <alignment vertical="center"/>
      <protection hidden="1"/>
    </xf>
    <xf numFmtId="4" fontId="4" fillId="33" borderId="29" xfId="0" applyNumberFormat="1" applyFont="1" applyFill="1" applyBorder="1" applyAlignment="1" applyProtection="1">
      <alignment horizontal="right" vertical="center"/>
      <protection hidden="1"/>
    </xf>
    <xf numFmtId="4" fontId="5" fillId="34" borderId="32" xfId="0" applyNumberFormat="1" applyFont="1" applyFill="1" applyBorder="1" applyAlignment="1" applyProtection="1">
      <alignment/>
      <protection hidden="1"/>
    </xf>
    <xf numFmtId="4" fontId="5" fillId="34" borderId="40" xfId="0" applyNumberFormat="1" applyFont="1" applyFill="1" applyBorder="1" applyAlignment="1" applyProtection="1">
      <alignment horizontal="right"/>
      <protection locked="0"/>
    </xf>
    <xf numFmtId="4" fontId="5" fillId="34" borderId="35" xfId="0" applyNumberFormat="1" applyFont="1" applyFill="1" applyBorder="1" applyAlignment="1" applyProtection="1">
      <alignment horizontal="right"/>
      <protection locked="0"/>
    </xf>
    <xf numFmtId="4" fontId="5" fillId="34" borderId="38" xfId="0" applyNumberFormat="1" applyFont="1" applyFill="1" applyBorder="1" applyAlignment="1" applyProtection="1">
      <alignment/>
      <protection hidden="1"/>
    </xf>
    <xf numFmtId="4" fontId="5" fillId="34" borderId="41" xfId="0" applyNumberFormat="1" applyFont="1" applyFill="1" applyBorder="1" applyAlignment="1" applyProtection="1">
      <alignment horizontal="right"/>
      <protection locked="0"/>
    </xf>
    <xf numFmtId="4" fontId="5" fillId="34" borderId="40" xfId="0" applyNumberFormat="1" applyFont="1" applyFill="1" applyBorder="1" applyAlignment="1" applyProtection="1">
      <alignment horizontal="right"/>
      <protection hidden="1" locked="0"/>
    </xf>
    <xf numFmtId="4" fontId="5" fillId="34" borderId="37" xfId="0" applyNumberFormat="1" applyFont="1" applyFill="1" applyBorder="1" applyAlignment="1" applyProtection="1">
      <alignment horizontal="right"/>
      <protection hidden="1" locked="0"/>
    </xf>
    <xf numFmtId="3" fontId="6" fillId="34" borderId="24" xfId="0" applyNumberFormat="1" applyFont="1" applyFill="1" applyBorder="1" applyAlignment="1" applyProtection="1">
      <alignment horizontal="center"/>
      <protection hidden="1"/>
    </xf>
    <xf numFmtId="4" fontId="5" fillId="34" borderId="42" xfId="0" applyNumberFormat="1" applyFont="1" applyFill="1" applyBorder="1" applyAlignment="1" applyProtection="1">
      <alignment/>
      <protection hidden="1"/>
    </xf>
    <xf numFmtId="4" fontId="5" fillId="34" borderId="21" xfId="0" applyNumberFormat="1" applyFont="1" applyFill="1" applyBorder="1" applyAlignment="1" applyProtection="1">
      <alignment horizontal="right"/>
      <protection hidden="1" locked="0"/>
    </xf>
    <xf numFmtId="164" fontId="0" fillId="0" borderId="43" xfId="62" applyNumberFormat="1" applyFont="1" applyBorder="1" applyAlignment="1" applyProtection="1">
      <alignment/>
      <protection hidden="1"/>
    </xf>
    <xf numFmtId="165" fontId="0" fillId="0" borderId="44" xfId="0" applyNumberFormat="1" applyBorder="1" applyAlignment="1" applyProtection="1">
      <alignment vertical="center"/>
      <protection hidden="1"/>
    </xf>
    <xf numFmtId="4" fontId="5" fillId="34" borderId="27" xfId="0" applyNumberFormat="1" applyFont="1" applyFill="1" applyBorder="1" applyAlignment="1" applyProtection="1">
      <alignment/>
      <protection hidden="1"/>
    </xf>
    <xf numFmtId="40" fontId="5" fillId="34" borderId="18" xfId="0" applyNumberFormat="1" applyFont="1" applyFill="1" applyBorder="1" applyAlignment="1" applyProtection="1">
      <alignment vertical="center"/>
      <protection hidden="1"/>
    </xf>
    <xf numFmtId="4" fontId="5" fillId="34" borderId="35" xfId="48" applyNumberFormat="1" applyFont="1" applyFill="1" applyBorder="1" applyAlignment="1" applyProtection="1">
      <alignment horizontal="right"/>
      <protection hidden="1"/>
    </xf>
    <xf numFmtId="4" fontId="6" fillId="34" borderId="24" xfId="0" applyNumberFormat="1" applyFont="1" applyFill="1" applyBorder="1" applyAlignment="1" applyProtection="1">
      <alignment horizontal="center"/>
      <protection hidden="1"/>
    </xf>
    <xf numFmtId="40" fontId="5" fillId="34" borderId="21" xfId="0" applyNumberFormat="1" applyFont="1" applyFill="1" applyBorder="1" applyAlignment="1" applyProtection="1">
      <alignment vertical="center"/>
      <protection hidden="1"/>
    </xf>
    <xf numFmtId="40" fontId="6" fillId="34" borderId="18" xfId="0" applyNumberFormat="1" applyFont="1" applyFill="1" applyBorder="1" applyAlignment="1" applyProtection="1">
      <alignment vertical="center"/>
      <protection hidden="1"/>
    </xf>
    <xf numFmtId="40" fontId="6" fillId="34" borderId="43" xfId="0" applyNumberFormat="1" applyFont="1" applyFill="1" applyBorder="1" applyAlignment="1" applyProtection="1">
      <alignment vertical="center"/>
      <protection hidden="1"/>
    </xf>
    <xf numFmtId="164" fontId="50" fillId="0" borderId="34" xfId="62" applyNumberFormat="1" applyFont="1" applyBorder="1" applyAlignment="1" applyProtection="1">
      <alignment/>
      <protection hidden="1"/>
    </xf>
    <xf numFmtId="4" fontId="6" fillId="4" borderId="24" xfId="0" applyNumberFormat="1" applyFont="1" applyFill="1" applyBorder="1" applyAlignment="1" applyProtection="1">
      <alignment horizontal="center"/>
      <protection hidden="1"/>
    </xf>
    <xf numFmtId="40" fontId="5" fillId="4" borderId="18" xfId="0" applyNumberFormat="1" applyFont="1" applyFill="1" applyBorder="1" applyAlignment="1" applyProtection="1">
      <alignment vertical="center"/>
      <protection hidden="1"/>
    </xf>
    <xf numFmtId="40" fontId="5" fillId="35" borderId="43" xfId="0" applyNumberFormat="1" applyFont="1" applyFill="1" applyBorder="1" applyAlignment="1" applyProtection="1">
      <alignment vertical="center"/>
      <protection hidden="1"/>
    </xf>
    <xf numFmtId="4" fontId="6" fillId="4" borderId="22" xfId="0" applyNumberFormat="1" applyFont="1" applyFill="1" applyBorder="1" applyAlignment="1" applyProtection="1">
      <alignment horizontal="center"/>
      <protection hidden="1"/>
    </xf>
    <xf numFmtId="40" fontId="5" fillId="35" borderId="45" xfId="0" applyNumberFormat="1" applyFont="1" applyFill="1" applyBorder="1" applyAlignment="1" applyProtection="1">
      <alignment vertical="center"/>
      <protection hidden="1"/>
    </xf>
    <xf numFmtId="4" fontId="10" fillId="33" borderId="29" xfId="48" applyNumberFormat="1" applyFont="1" applyFill="1" applyBorder="1" applyAlignment="1" applyProtection="1">
      <alignment horizontal="right"/>
      <protection hidden="1"/>
    </xf>
    <xf numFmtId="4" fontId="10" fillId="33" borderId="11" xfId="48" applyNumberFormat="1" applyFont="1" applyFill="1" applyBorder="1" applyAlignment="1" applyProtection="1">
      <alignment horizontal="right"/>
      <protection hidden="1"/>
    </xf>
    <xf numFmtId="4" fontId="9" fillId="34" borderId="28" xfId="0" applyNumberFormat="1" applyFont="1" applyFill="1" applyBorder="1" applyAlignment="1" applyProtection="1">
      <alignment/>
      <protection hidden="1"/>
    </xf>
    <xf numFmtId="3" fontId="6" fillId="34" borderId="17" xfId="0" applyNumberFormat="1" applyFont="1" applyFill="1" applyBorder="1" applyAlignment="1" applyProtection="1">
      <alignment horizontal="center"/>
      <protection hidden="1"/>
    </xf>
    <xf numFmtId="0" fontId="4" fillId="33" borderId="26" xfId="0" applyFont="1" applyFill="1" applyBorder="1" applyAlignment="1" applyProtection="1">
      <alignment horizontal="center" vertical="center"/>
      <protection hidden="1"/>
    </xf>
    <xf numFmtId="0" fontId="5" fillId="0" borderId="27" xfId="0" applyFont="1" applyBorder="1" applyAlignment="1" applyProtection="1">
      <alignment/>
      <protection hidden="1"/>
    </xf>
    <xf numFmtId="164" fontId="0" fillId="0" borderId="0" xfId="62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0" fillId="0" borderId="31" xfId="62" applyNumberFormat="1" applyFont="1" applyBorder="1" applyAlignment="1" applyProtection="1">
      <alignment/>
      <protection hidden="1"/>
    </xf>
    <xf numFmtId="164" fontId="0" fillId="0" borderId="35" xfId="62" applyNumberFormat="1" applyFont="1" applyBorder="1" applyAlignment="1" applyProtection="1">
      <alignment/>
      <protection hidden="1"/>
    </xf>
    <xf numFmtId="164" fontId="0" fillId="0" borderId="41" xfId="62" applyNumberFormat="1" applyFont="1" applyBorder="1" applyAlignment="1" applyProtection="1">
      <alignment/>
      <protection hidden="1"/>
    </xf>
    <xf numFmtId="164" fontId="0" fillId="0" borderId="40" xfId="62" applyNumberFormat="1" applyFont="1" applyBorder="1" applyAlignment="1" applyProtection="1">
      <alignment/>
      <protection hidden="1"/>
    </xf>
    <xf numFmtId="165" fontId="4" fillId="33" borderId="11" xfId="0" applyNumberFormat="1" applyFont="1" applyFill="1" applyBorder="1" applyAlignment="1" applyProtection="1">
      <alignment vertical="center"/>
      <protection hidden="1"/>
    </xf>
    <xf numFmtId="164" fontId="50" fillId="0" borderId="35" xfId="62" applyNumberFormat="1" applyFont="1" applyBorder="1" applyAlignment="1" applyProtection="1">
      <alignment/>
      <protection hidden="1"/>
    </xf>
    <xf numFmtId="165" fontId="47" fillId="0" borderId="15" xfId="0" applyNumberFormat="1" applyFont="1" applyBorder="1" applyAlignment="1" applyProtection="1">
      <alignment vertical="center"/>
      <protection hidden="1"/>
    </xf>
    <xf numFmtId="165" fontId="47" fillId="0" borderId="17" xfId="0" applyNumberFormat="1" applyFont="1" applyBorder="1" applyAlignment="1" applyProtection="1">
      <alignment vertical="center"/>
      <protection hidden="1"/>
    </xf>
    <xf numFmtId="165" fontId="47" fillId="0" borderId="22" xfId="0" applyNumberFormat="1" applyFont="1" applyBorder="1" applyAlignment="1" applyProtection="1">
      <alignment vertical="center"/>
      <protection hidden="1"/>
    </xf>
    <xf numFmtId="165" fontId="47" fillId="0" borderId="44" xfId="0" applyNumberFormat="1" applyFont="1" applyBorder="1" applyAlignment="1" applyProtection="1">
      <alignment vertical="center"/>
      <protection hidden="1"/>
    </xf>
    <xf numFmtId="165" fontId="47" fillId="0" borderId="0" xfId="0" applyNumberFormat="1" applyFont="1" applyBorder="1" applyAlignment="1" applyProtection="1">
      <alignment vertical="center"/>
      <protection hidden="1"/>
    </xf>
    <xf numFmtId="165" fontId="47" fillId="0" borderId="0" xfId="0" applyNumberFormat="1" applyFont="1" applyAlignment="1" applyProtection="1">
      <alignment/>
      <protection hidden="1"/>
    </xf>
    <xf numFmtId="164" fontId="0" fillId="0" borderId="33" xfId="62" applyNumberFormat="1" applyFont="1" applyBorder="1" applyAlignment="1" applyProtection="1">
      <alignment/>
      <protection hidden="1"/>
    </xf>
    <xf numFmtId="164" fontId="0" fillId="0" borderId="18" xfId="62" applyNumberFormat="1" applyFont="1" applyBorder="1" applyAlignment="1" applyProtection="1">
      <alignment/>
      <protection hidden="1"/>
    </xf>
    <xf numFmtId="164" fontId="0" fillId="0" borderId="39" xfId="62" applyNumberFormat="1" applyFont="1" applyBorder="1" applyAlignment="1" applyProtection="1">
      <alignment/>
      <protection hidden="1"/>
    </xf>
    <xf numFmtId="4" fontId="4" fillId="33" borderId="26" xfId="0" applyNumberFormat="1" applyFont="1" applyFill="1" applyBorder="1" applyAlignment="1" applyProtection="1">
      <alignment vertical="center"/>
      <protection hidden="1"/>
    </xf>
    <xf numFmtId="4" fontId="4" fillId="33" borderId="27" xfId="0" applyNumberFormat="1" applyFont="1" applyFill="1" applyBorder="1" applyAlignment="1" applyProtection="1">
      <alignment vertical="center"/>
      <protection hidden="1"/>
    </xf>
    <xf numFmtId="4" fontId="5" fillId="34" borderId="46" xfId="0" applyNumberFormat="1" applyFont="1" applyFill="1" applyBorder="1" applyAlignment="1" applyProtection="1">
      <alignment/>
      <protection hidden="1"/>
    </xf>
    <xf numFmtId="4" fontId="5" fillId="34" borderId="47" xfId="0" applyNumberFormat="1" applyFont="1" applyFill="1" applyBorder="1" applyAlignment="1" applyProtection="1">
      <alignment horizontal="right"/>
      <protection hidden="1"/>
    </xf>
    <xf numFmtId="164" fontId="0" fillId="0" borderId="48" xfId="62" applyNumberFormat="1" applyFont="1" applyBorder="1" applyAlignment="1" applyProtection="1">
      <alignment/>
      <protection hidden="1"/>
    </xf>
    <xf numFmtId="4" fontId="5" fillId="34" borderId="17" xfId="0" applyNumberFormat="1" applyFont="1" applyFill="1" applyBorder="1" applyAlignment="1" applyProtection="1">
      <alignment horizontal="right"/>
      <protection hidden="1"/>
    </xf>
    <xf numFmtId="164" fontId="0" fillId="0" borderId="49" xfId="62" applyNumberFormat="1" applyFont="1" applyBorder="1" applyAlignment="1" applyProtection="1">
      <alignment/>
      <protection hidden="1"/>
    </xf>
    <xf numFmtId="4" fontId="5" fillId="34" borderId="16" xfId="0" applyNumberFormat="1" applyFont="1" applyFill="1" applyBorder="1" applyAlignment="1" applyProtection="1">
      <alignment/>
      <protection hidden="1"/>
    </xf>
    <xf numFmtId="4" fontId="5" fillId="34" borderId="19" xfId="0" applyNumberFormat="1" applyFont="1" applyFill="1" applyBorder="1" applyAlignment="1" applyProtection="1">
      <alignment horizontal="right"/>
      <protection hidden="1"/>
    </xf>
    <xf numFmtId="4" fontId="7" fillId="34" borderId="16" xfId="0" applyNumberFormat="1" applyFont="1" applyFill="1" applyBorder="1" applyAlignment="1" applyProtection="1">
      <alignment/>
      <protection hidden="1"/>
    </xf>
    <xf numFmtId="4" fontId="7" fillId="34" borderId="19" xfId="0" applyNumberFormat="1" applyFont="1" applyFill="1" applyBorder="1" applyAlignment="1" applyProtection="1">
      <alignment horizontal="right"/>
      <protection hidden="1"/>
    </xf>
    <xf numFmtId="0" fontId="5" fillId="36" borderId="16" xfId="0" applyFont="1" applyFill="1" applyBorder="1" applyAlignment="1" applyProtection="1">
      <alignment/>
      <protection hidden="1"/>
    </xf>
    <xf numFmtId="2" fontId="4" fillId="36" borderId="17" xfId="0" applyNumberFormat="1" applyFont="1" applyFill="1" applyBorder="1" applyAlignment="1" applyProtection="1">
      <alignment horizontal="center"/>
      <protection hidden="1"/>
    </xf>
    <xf numFmtId="4" fontId="7" fillId="36" borderId="36" xfId="0" applyNumberFormat="1" applyFont="1" applyFill="1" applyBorder="1" applyAlignment="1" applyProtection="1">
      <alignment/>
      <protection hidden="1"/>
    </xf>
    <xf numFmtId="1" fontId="6" fillId="36" borderId="17" xfId="0" applyNumberFormat="1" applyFont="1" applyFill="1" applyBorder="1" applyAlignment="1" applyProtection="1">
      <alignment horizontal="center"/>
      <protection hidden="1"/>
    </xf>
    <xf numFmtId="4" fontId="5" fillId="36" borderId="34" xfId="0" applyNumberFormat="1" applyFont="1" applyFill="1" applyBorder="1" applyAlignment="1" applyProtection="1">
      <alignment/>
      <protection hidden="1"/>
    </xf>
    <xf numFmtId="4" fontId="6" fillId="36" borderId="19" xfId="0" applyNumberFormat="1" applyFont="1" applyFill="1" applyBorder="1" applyAlignment="1" applyProtection="1">
      <alignment/>
      <protection hidden="1"/>
    </xf>
    <xf numFmtId="4" fontId="5" fillId="36" borderId="36" xfId="0" applyNumberFormat="1" applyFont="1" applyFill="1" applyBorder="1" applyAlignment="1" applyProtection="1">
      <alignment/>
      <protection hidden="1"/>
    </xf>
    <xf numFmtId="38" fontId="6" fillId="34" borderId="22" xfId="0" applyNumberFormat="1" applyFont="1" applyFill="1" applyBorder="1" applyAlignment="1" applyProtection="1">
      <alignment horizontal="center"/>
      <protection hidden="1"/>
    </xf>
    <xf numFmtId="4" fontId="5" fillId="34" borderId="50" xfId="0" applyNumberFormat="1" applyFont="1" applyFill="1" applyBorder="1" applyAlignment="1" applyProtection="1">
      <alignment horizontal="right"/>
      <protection locked="0"/>
    </xf>
    <xf numFmtId="164" fontId="0" fillId="0" borderId="51" xfId="62" applyNumberFormat="1" applyFon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47" fillId="0" borderId="0" xfId="0" applyFont="1" applyAlignment="1" applyProtection="1">
      <alignment/>
      <protection hidden="1"/>
    </xf>
    <xf numFmtId="0" fontId="4" fillId="33" borderId="26" xfId="0" applyFont="1" applyFill="1" applyBorder="1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/>
      <protection hidden="1"/>
    </xf>
    <xf numFmtId="43" fontId="0" fillId="0" borderId="0" xfId="0" applyNumberFormat="1" applyAlignment="1" applyProtection="1">
      <alignment vertical="center"/>
      <protection hidden="1"/>
    </xf>
    <xf numFmtId="0" fontId="47" fillId="0" borderId="0" xfId="0" applyFont="1" applyAlignment="1" applyProtection="1">
      <alignment horizontal="left"/>
      <protection hidden="1"/>
    </xf>
    <xf numFmtId="164" fontId="0" fillId="34" borderId="34" xfId="62" applyNumberFormat="1" applyFont="1" applyFill="1" applyBorder="1" applyAlignment="1" applyProtection="1">
      <alignment/>
      <protection hidden="1"/>
    </xf>
    <xf numFmtId="4" fontId="5" fillId="34" borderId="19" xfId="0" applyNumberFormat="1" applyFont="1" applyFill="1" applyBorder="1" applyAlignment="1" applyProtection="1">
      <alignment horizontal="right"/>
      <protection locked="0"/>
    </xf>
    <xf numFmtId="3" fontId="47" fillId="0" borderId="0" xfId="0" applyNumberFormat="1" applyFont="1" applyAlignment="1" applyProtection="1">
      <alignment horizontal="left"/>
      <protection hidden="1"/>
    </xf>
    <xf numFmtId="3" fontId="47" fillId="0" borderId="0" xfId="0" applyNumberFormat="1" applyFont="1" applyAlignment="1" applyProtection="1">
      <alignment horizontal="left" vertical="center"/>
      <protection hidden="1"/>
    </xf>
    <xf numFmtId="164" fontId="0" fillId="34" borderId="32" xfId="62" applyNumberFormat="1" applyFont="1" applyFill="1" applyBorder="1" applyAlignment="1" applyProtection="1">
      <alignment/>
      <protection hidden="1"/>
    </xf>
    <xf numFmtId="165" fontId="0" fillId="34" borderId="33" xfId="0" applyNumberFormat="1" applyFill="1" applyBorder="1" applyAlignment="1" applyProtection="1">
      <alignment vertical="center"/>
      <protection hidden="1"/>
    </xf>
    <xf numFmtId="165" fontId="0" fillId="34" borderId="18" xfId="0" applyNumberFormat="1" applyFill="1" applyBorder="1" applyAlignment="1" applyProtection="1">
      <alignment vertical="center"/>
      <protection hidden="1"/>
    </xf>
    <xf numFmtId="4" fontId="6" fillId="34" borderId="22" xfId="0" applyNumberFormat="1" applyFont="1" applyFill="1" applyBorder="1" applyAlignment="1" applyProtection="1">
      <alignment horizontal="center"/>
      <protection hidden="1"/>
    </xf>
    <xf numFmtId="164" fontId="0" fillId="34" borderId="38" xfId="62" applyNumberFormat="1" applyFont="1" applyFill="1" applyBorder="1" applyAlignment="1" applyProtection="1">
      <alignment/>
      <protection hidden="1"/>
    </xf>
    <xf numFmtId="165" fontId="0" fillId="34" borderId="39" xfId="0" applyNumberFormat="1" applyFill="1" applyBorder="1" applyAlignment="1" applyProtection="1">
      <alignment vertical="center"/>
      <protection hidden="1"/>
    </xf>
    <xf numFmtId="4" fontId="47" fillId="37" borderId="11" xfId="0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0" fontId="47" fillId="0" borderId="52" xfId="0" applyFont="1" applyFill="1" applyBorder="1" applyAlignment="1" applyProtection="1">
      <alignment/>
      <protection hidden="1"/>
    </xf>
    <xf numFmtId="0" fontId="47" fillId="0" borderId="53" xfId="0" applyFont="1" applyFill="1" applyBorder="1" applyAlignment="1" applyProtection="1">
      <alignment/>
      <protection hidden="1"/>
    </xf>
    <xf numFmtId="4" fontId="47" fillId="0" borderId="11" xfId="62" applyNumberFormat="1" applyFont="1" applyFill="1" applyBorder="1" applyAlignment="1" applyProtection="1">
      <alignment/>
      <protection hidden="1"/>
    </xf>
    <xf numFmtId="4" fontId="0" fillId="0" borderId="11" xfId="62" applyNumberFormat="1" applyFont="1" applyFill="1" applyBorder="1" applyAlignment="1" applyProtection="1">
      <alignment/>
      <protection hidden="1"/>
    </xf>
    <xf numFmtId="4" fontId="47" fillId="0" borderId="54" xfId="62" applyNumberFormat="1" applyFont="1" applyFill="1" applyBorder="1" applyAlignment="1" applyProtection="1">
      <alignment/>
      <protection hidden="1"/>
    </xf>
    <xf numFmtId="4" fontId="47" fillId="0" borderId="55" xfId="62" applyNumberFormat="1" applyFont="1" applyFill="1" applyBorder="1" applyAlignment="1" applyProtection="1">
      <alignment/>
      <protection hidden="1"/>
    </xf>
    <xf numFmtId="4" fontId="0" fillId="0" borderId="56" xfId="62" applyNumberFormat="1" applyFont="1" applyFill="1" applyBorder="1" applyAlignment="1" applyProtection="1">
      <alignment/>
      <protection hidden="1"/>
    </xf>
    <xf numFmtId="4" fontId="47" fillId="0" borderId="56" xfId="62" applyNumberFormat="1" applyFont="1" applyFill="1" applyBorder="1" applyAlignment="1" applyProtection="1">
      <alignment/>
      <protection hidden="1"/>
    </xf>
    <xf numFmtId="0" fontId="47" fillId="0" borderId="57" xfId="0" applyFont="1" applyFill="1" applyBorder="1" applyAlignment="1" applyProtection="1">
      <alignment/>
      <protection hidden="1"/>
    </xf>
    <xf numFmtId="0" fontId="51" fillId="34" borderId="0" xfId="0" applyFont="1" applyFill="1" applyAlignment="1">
      <alignment wrapText="1"/>
    </xf>
    <xf numFmtId="4" fontId="47" fillId="0" borderId="58" xfId="0" applyNumberFormat="1" applyFont="1" applyFill="1" applyBorder="1" applyAlignment="1" applyProtection="1">
      <alignment/>
      <protection hidden="1"/>
    </xf>
    <xf numFmtId="0" fontId="47" fillId="0" borderId="59" xfId="0" applyFont="1" applyFill="1" applyBorder="1" applyAlignment="1" applyProtection="1">
      <alignment/>
      <protection hidden="1"/>
    </xf>
    <xf numFmtId="4" fontId="47" fillId="0" borderId="60" xfId="0" applyNumberFormat="1" applyFont="1" applyFill="1" applyBorder="1" applyAlignment="1" applyProtection="1">
      <alignment horizontal="center"/>
      <protection hidden="1"/>
    </xf>
    <xf numFmtId="4" fontId="47" fillId="0" borderId="61" xfId="0" applyNumberFormat="1" applyFont="1" applyFill="1" applyBorder="1" applyAlignment="1" applyProtection="1">
      <alignment horizontal="center"/>
      <protection hidden="1"/>
    </xf>
    <xf numFmtId="4" fontId="0" fillId="0" borderId="62" xfId="62" applyNumberFormat="1" applyFont="1" applyFill="1" applyBorder="1" applyAlignment="1" applyProtection="1">
      <alignment/>
      <protection hidden="1"/>
    </xf>
    <xf numFmtId="0" fontId="52" fillId="38" borderId="63" xfId="0" applyFont="1" applyFill="1" applyBorder="1" applyAlignment="1">
      <alignment horizontal="center"/>
    </xf>
    <xf numFmtId="0" fontId="51" fillId="38" borderId="64" xfId="0" applyFont="1" applyFill="1" applyBorder="1" applyAlignment="1">
      <alignment wrapText="1"/>
    </xf>
    <xf numFmtId="0" fontId="51" fillId="38" borderId="65" xfId="0" applyFont="1" applyFill="1" applyBorder="1" applyAlignment="1">
      <alignment horizontal="center" wrapText="1"/>
    </xf>
    <xf numFmtId="0" fontId="4" fillId="33" borderId="26" xfId="0" applyFont="1" applyFill="1" applyBorder="1" applyAlignment="1" applyProtection="1">
      <alignment horizontal="center" vertical="center"/>
      <protection hidden="1"/>
    </xf>
    <xf numFmtId="0" fontId="4" fillId="33" borderId="27" xfId="0" applyFont="1" applyFill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/>
      <protection hidden="1"/>
    </xf>
    <xf numFmtId="0" fontId="2" fillId="0" borderId="66" xfId="0" applyFont="1" applyBorder="1" applyAlignment="1" applyProtection="1">
      <alignment horizontal="center"/>
      <protection hidden="1"/>
    </xf>
    <xf numFmtId="0" fontId="3" fillId="10" borderId="26" xfId="0" applyFont="1" applyFill="1" applyBorder="1" applyAlignment="1" applyProtection="1">
      <alignment horizontal="center"/>
      <protection hidden="1" locked="0"/>
    </xf>
    <xf numFmtId="0" fontId="3" fillId="10" borderId="27" xfId="0" applyFont="1" applyFill="1" applyBorder="1" applyAlignment="1" applyProtection="1">
      <alignment horizontal="center"/>
      <protection hidden="1" locked="0"/>
    </xf>
    <xf numFmtId="0" fontId="3" fillId="10" borderId="10" xfId="0" applyFont="1" applyFill="1" applyBorder="1" applyAlignment="1" applyProtection="1">
      <alignment horizontal="center"/>
      <protection hidden="1" locked="0"/>
    </xf>
    <xf numFmtId="164" fontId="47" fillId="37" borderId="46" xfId="62" applyNumberFormat="1" applyFont="1" applyFill="1" applyBorder="1" applyAlignment="1" applyProtection="1">
      <alignment horizontal="center" vertical="center" wrapText="1"/>
      <protection hidden="1"/>
    </xf>
    <xf numFmtId="164" fontId="47" fillId="37" borderId="67" xfId="62" applyNumberFormat="1" applyFont="1" applyFill="1" applyBorder="1" applyAlignment="1" applyProtection="1">
      <alignment horizontal="center" vertical="center" wrapText="1"/>
      <protection hidden="1"/>
    </xf>
    <xf numFmtId="164" fontId="47" fillId="37" borderId="43" xfId="62" applyNumberFormat="1" applyFont="1" applyFill="1" applyBorder="1" applyAlignment="1" applyProtection="1">
      <alignment horizontal="center" vertical="center" wrapText="1"/>
      <protection hidden="1"/>
    </xf>
    <xf numFmtId="164" fontId="47" fillId="37" borderId="44" xfId="62" applyNumberFormat="1" applyFont="1" applyFill="1" applyBorder="1" applyAlignment="1" applyProtection="1">
      <alignment horizontal="center" vertical="center" wrapText="1"/>
      <protection hidden="1"/>
    </xf>
    <xf numFmtId="164" fontId="47" fillId="37" borderId="45" xfId="62" applyNumberFormat="1" applyFont="1" applyFill="1" applyBorder="1" applyAlignment="1" applyProtection="1">
      <alignment horizontal="center" vertical="center" wrapText="1"/>
      <protection hidden="1"/>
    </xf>
    <xf numFmtId="164" fontId="47" fillId="37" borderId="68" xfId="62" applyNumberFormat="1" applyFont="1" applyFill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0" fontId="4" fillId="0" borderId="47" xfId="0" applyFont="1" applyBorder="1" applyAlignment="1" applyProtection="1">
      <alignment horizontal="center" vertical="center" wrapText="1"/>
      <protection hidden="1"/>
    </xf>
    <xf numFmtId="0" fontId="4" fillId="0" borderId="69" xfId="0" applyFont="1" applyBorder="1" applyAlignment="1" applyProtection="1">
      <alignment horizontal="center" vertical="center" wrapText="1"/>
      <protection hidden="1"/>
    </xf>
    <xf numFmtId="0" fontId="4" fillId="0" borderId="50" xfId="0" applyFont="1" applyBorder="1" applyAlignment="1" applyProtection="1">
      <alignment horizontal="center" vertical="center" wrapText="1"/>
      <protection hidden="1"/>
    </xf>
    <xf numFmtId="0" fontId="4" fillId="0" borderId="67" xfId="0" applyFont="1" applyBorder="1" applyAlignment="1" applyProtection="1">
      <alignment horizontal="center" vertical="center" wrapText="1"/>
      <protection hidden="1"/>
    </xf>
    <xf numFmtId="0" fontId="4" fillId="0" borderId="68" xfId="0" applyFont="1" applyBorder="1" applyAlignment="1" applyProtection="1">
      <alignment horizontal="center" vertical="center" wrapText="1"/>
      <protection hidden="1"/>
    </xf>
    <xf numFmtId="0" fontId="4" fillId="0" borderId="69" xfId="0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center" vertical="center"/>
      <protection hidden="1"/>
    </xf>
    <xf numFmtId="4" fontId="4" fillId="0" borderId="69" xfId="0" applyNumberFormat="1" applyFont="1" applyBorder="1" applyAlignment="1" applyProtection="1">
      <alignment horizontal="center" vertical="center" wrapText="1"/>
      <protection hidden="1"/>
    </xf>
    <xf numFmtId="4" fontId="4" fillId="0" borderId="50" xfId="0" applyNumberFormat="1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70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46" xfId="0" applyFont="1" applyBorder="1" applyAlignment="1" applyProtection="1">
      <alignment horizontal="center" vertical="center" wrapText="1"/>
      <protection hidden="1"/>
    </xf>
    <xf numFmtId="170" fontId="47" fillId="0" borderId="71" xfId="0" applyNumberFormat="1" applyFont="1" applyFill="1" applyBorder="1" applyAlignment="1" applyProtection="1">
      <alignment horizontal="center" vertical="center"/>
      <protection hidden="1"/>
    </xf>
    <xf numFmtId="170" fontId="47" fillId="0" borderId="72" xfId="0" applyNumberFormat="1" applyFont="1" applyFill="1" applyBorder="1" applyAlignment="1" applyProtection="1">
      <alignment horizontal="center" vertical="center"/>
      <protection hidden="1"/>
    </xf>
    <xf numFmtId="0" fontId="47" fillId="0" borderId="73" xfId="0" applyFont="1" applyFill="1" applyBorder="1" applyAlignment="1" applyProtection="1">
      <alignment horizontal="center" vertical="center"/>
      <protection hidden="1"/>
    </xf>
    <xf numFmtId="0" fontId="47" fillId="0" borderId="74" xfId="0" applyFont="1" applyFill="1" applyBorder="1" applyAlignment="1" applyProtection="1">
      <alignment horizontal="center" vertical="center"/>
      <protection hidden="1"/>
    </xf>
    <xf numFmtId="170" fontId="47" fillId="0" borderId="75" xfId="0" applyNumberFormat="1" applyFont="1" applyFill="1" applyBorder="1" applyAlignment="1" applyProtection="1">
      <alignment horizontal="center" vertical="center"/>
      <protection hidden="1"/>
    </xf>
    <xf numFmtId="170" fontId="47" fillId="0" borderId="76" xfId="0" applyNumberFormat="1" applyFont="1" applyFill="1" applyBorder="1" applyAlignment="1" applyProtection="1">
      <alignment horizontal="center" vertical="center"/>
      <protection hidden="1"/>
    </xf>
    <xf numFmtId="0" fontId="53" fillId="34" borderId="0" xfId="0" applyFont="1" applyFill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4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3" xfId="6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deia\Downloads\ANGRA%20-%20EMERGENCIAL%20HOSPITAL%202%20(MAR2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deia\Downloads\ANGRA%20-%20EMERGENCIAL%20TENDA%203%2024%201100%20(MAR2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deia\Downloads\ANGRA%20-%20EMERGENCIAL%20HOSPITAL%205%2026%201700%20(AUMENTO%20FUNCION&#193;RIOS%20541)%20(MAR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"/>
      <sheetName val="CRONOGRAMA DE DESEMBOLSO"/>
      <sheetName val="QUADRO PESSOAL"/>
      <sheetName val="QUADRO PESSOAL (RH)"/>
      <sheetName val="ENCARGOS TRABALHISTAS"/>
      <sheetName val="PREMISSAS-PARÂMETROS"/>
    </sheetNames>
    <sheetDataSet>
      <sheetData sheetId="2">
        <row r="75">
          <cell r="G75">
            <v>381</v>
          </cell>
          <cell r="I75">
            <v>844000</v>
          </cell>
          <cell r="K75">
            <v>79629</v>
          </cell>
          <cell r="X75">
            <v>38790.90000000001</v>
          </cell>
          <cell r="Y75">
            <v>19718.5</v>
          </cell>
          <cell r="AM75">
            <v>46332.056</v>
          </cell>
          <cell r="AN75">
            <v>9266.4112</v>
          </cell>
        </row>
        <row r="186">
          <cell r="G186">
            <v>85</v>
          </cell>
          <cell r="K186">
            <v>1675114.15</v>
          </cell>
        </row>
      </sheetData>
      <sheetData sheetId="4">
        <row r="44">
          <cell r="G44">
            <v>64.9</v>
          </cell>
          <cell r="I44">
            <v>635518.5299999999</v>
          </cell>
        </row>
        <row r="46">
          <cell r="G46">
            <v>1</v>
          </cell>
          <cell r="I46">
            <v>11744.85</v>
          </cell>
        </row>
      </sheetData>
      <sheetData sheetId="5">
        <row r="3">
          <cell r="C3">
            <v>6</v>
          </cell>
        </row>
        <row r="15">
          <cell r="C15">
            <v>15994.199999999999</v>
          </cell>
        </row>
        <row r="16">
          <cell r="C16">
            <v>80</v>
          </cell>
        </row>
        <row r="17">
          <cell r="C17">
            <v>120</v>
          </cell>
        </row>
        <row r="18">
          <cell r="C18">
            <v>120</v>
          </cell>
        </row>
        <row r="19">
          <cell r="C19">
            <v>250</v>
          </cell>
        </row>
        <row r="24">
          <cell r="C24">
            <v>4.2</v>
          </cell>
        </row>
        <row r="42">
          <cell r="E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"/>
      <sheetName val="CRONOGRAMA DE DESEMBOLSO"/>
      <sheetName val="QUADRO PESSOAL"/>
      <sheetName val="QUADRO PESSOAL (original)"/>
      <sheetName val="QUADRO PESSOAL (RH)"/>
      <sheetName val="ENCARGOS TRABALHISTAS"/>
      <sheetName val="PREMISSAS-PARÂMETR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GERAL1"/>
      <sheetName val="CRONOGRAMA DE DESEMBOLSO"/>
      <sheetName val="PRESTADORES DE SERVIÇOS"/>
      <sheetName val="DIMENSIONAMENTO PESSOAL I"/>
      <sheetName val="DIMENSIONAMENTO PESSOAL II"/>
      <sheetName val="PLANILHA GERAL"/>
      <sheetName val="PLANILHA GERAL (ANTERIOR)"/>
      <sheetName val="QUADRO PESSOAL"/>
      <sheetName val="QUADRO PESSOAL (ORIGINAL)"/>
      <sheetName val="QUADRO PESSOAL AJUSTADO (RH)"/>
      <sheetName val="ENCARGOS TRABALHISTAS"/>
      <sheetName val="PREMISSAS-PARÂMETROS"/>
    </sheetNames>
    <sheetDataSet>
      <sheetData sheetId="7">
        <row r="76">
          <cell r="G76">
            <v>436</v>
          </cell>
          <cell r="I76">
            <v>938600</v>
          </cell>
          <cell r="K76">
            <v>91124</v>
          </cell>
          <cell r="X76">
            <v>57584.80000000003</v>
          </cell>
          <cell r="Y76">
            <v>25550.600000000002</v>
          </cell>
          <cell r="AM76">
            <v>56752.66933333333</v>
          </cell>
          <cell r="AN76">
            <v>11350.533866666667</v>
          </cell>
        </row>
        <row r="106">
          <cell r="G106">
            <v>82</v>
          </cell>
          <cell r="S106">
            <v>1642464.3900000001</v>
          </cell>
        </row>
      </sheetData>
      <sheetData sheetId="10">
        <row r="44">
          <cell r="G44">
            <v>61.14</v>
          </cell>
          <cell r="I44">
            <v>671211.5000000001</v>
          </cell>
        </row>
        <row r="46">
          <cell r="G46">
            <v>1</v>
          </cell>
          <cell r="I46">
            <v>13167.33</v>
          </cell>
        </row>
      </sheetData>
      <sheetData sheetId="11">
        <row r="3">
          <cell r="C3">
            <v>3</v>
          </cell>
        </row>
        <row r="15">
          <cell r="C15">
            <v>15994.199999999999</v>
          </cell>
        </row>
        <row r="16">
          <cell r="C16">
            <v>100</v>
          </cell>
        </row>
        <row r="17">
          <cell r="C17">
            <v>120</v>
          </cell>
        </row>
        <row r="18">
          <cell r="C18">
            <v>120</v>
          </cell>
        </row>
        <row r="19">
          <cell r="C19">
            <v>250</v>
          </cell>
        </row>
        <row r="24">
          <cell r="C24">
            <v>4.2</v>
          </cell>
        </row>
        <row r="43">
          <cell r="E43">
            <v>221600.61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90"/>
  <sheetViews>
    <sheetView showGridLines="0" zoomScalePageLayoutView="0" workbookViewId="0" topLeftCell="A1">
      <selection activeCell="F96" sqref="F96"/>
    </sheetView>
  </sheetViews>
  <sheetFormatPr defaultColWidth="9.28125" defaultRowHeight="15"/>
  <cols>
    <col min="1" max="1" width="52.28125" style="1" customWidth="1"/>
    <col min="2" max="2" width="5.7109375" style="48" hidden="1" customWidth="1"/>
    <col min="3" max="3" width="12.28125" style="1" hidden="1" customWidth="1"/>
    <col min="4" max="4" width="5.7109375" style="48" customWidth="1"/>
    <col min="5" max="5" width="15.00390625" style="48" customWidth="1"/>
    <col min="6" max="6" width="12.00390625" style="49" customWidth="1"/>
    <col min="7" max="7" width="11.00390625" style="50" customWidth="1"/>
    <col min="8" max="8" width="10.7109375" style="1" bestFit="1" customWidth="1"/>
    <col min="9" max="9" width="9.28125" style="1" customWidth="1"/>
    <col min="10" max="10" width="11.7109375" style="1" bestFit="1" customWidth="1"/>
    <col min="11" max="16384" width="9.28125" style="1" customWidth="1"/>
  </cols>
  <sheetData>
    <row r="1" spans="1:5" ht="15.75">
      <c r="A1" s="178" t="s">
        <v>0</v>
      </c>
      <c r="B1" s="179"/>
      <c r="C1" s="179"/>
      <c r="D1" s="179"/>
      <c r="E1" s="179"/>
    </row>
    <row r="2" spans="1:7" ht="15.75" customHeight="1">
      <c r="A2" s="180" t="s">
        <v>1</v>
      </c>
      <c r="B2" s="181"/>
      <c r="C2" s="181"/>
      <c r="D2" s="181"/>
      <c r="E2" s="182"/>
      <c r="F2" s="183" t="s">
        <v>91</v>
      </c>
      <c r="G2" s="184"/>
    </row>
    <row r="3" spans="1:7" ht="14.25" customHeight="1">
      <c r="A3" s="196" t="s">
        <v>2</v>
      </c>
      <c r="B3" s="198"/>
      <c r="C3" s="189" t="s">
        <v>92</v>
      </c>
      <c r="D3" s="191" t="s">
        <v>3</v>
      </c>
      <c r="E3" s="2" t="s">
        <v>4</v>
      </c>
      <c r="F3" s="185"/>
      <c r="G3" s="186"/>
    </row>
    <row r="4" spans="1:7" ht="14.25" customHeight="1">
      <c r="A4" s="196"/>
      <c r="B4" s="198"/>
      <c r="C4" s="189"/>
      <c r="D4" s="192"/>
      <c r="E4" s="194" t="s">
        <v>5</v>
      </c>
      <c r="F4" s="185"/>
      <c r="G4" s="186"/>
    </row>
    <row r="5" spans="1:7" ht="14.25" customHeight="1">
      <c r="A5" s="197"/>
      <c r="B5" s="199"/>
      <c r="C5" s="190"/>
      <c r="D5" s="193"/>
      <c r="E5" s="195"/>
      <c r="F5" s="187"/>
      <c r="G5" s="188"/>
    </row>
    <row r="6" spans="1:7" s="6" customFormat="1" ht="14.25" customHeight="1">
      <c r="A6" s="141" t="s">
        <v>6</v>
      </c>
      <c r="B6" s="3"/>
      <c r="C6" s="118" t="e">
        <f>SUM(C7:C21)</f>
        <v>#REF!</v>
      </c>
      <c r="D6" s="3"/>
      <c r="E6" s="119">
        <f>SUM(E7:E21)</f>
        <v>3479255.8232000005</v>
      </c>
      <c r="F6" s="3">
        <f>SUM(F7:F21)</f>
        <v>3335975.59</v>
      </c>
      <c r="G6" s="52">
        <f>SUM(G7:G21)</f>
        <v>143280.2332000004</v>
      </c>
    </row>
    <row r="7" spans="1:8" ht="14.25" customHeight="1">
      <c r="A7" s="7" t="s">
        <v>7</v>
      </c>
      <c r="B7" s="53"/>
      <c r="C7" s="120" t="e">
        <f>#REF!</f>
        <v>#REF!</v>
      </c>
      <c r="D7" s="8">
        <f>'[3]QUADRO PESSOAL'!G76</f>
        <v>436</v>
      </c>
      <c r="E7" s="121">
        <f>'[3]QUADRO PESSOAL'!$I$76</f>
        <v>938600</v>
      </c>
      <c r="F7" s="122">
        <v>844000</v>
      </c>
      <c r="G7" s="57">
        <f aca="true" t="shared" si="0" ref="G7:G61">E7-F7</f>
        <v>94600</v>
      </c>
      <c r="H7" s="144">
        <v>375</v>
      </c>
    </row>
    <row r="8" spans="1:7" ht="14.25" customHeight="1">
      <c r="A8" s="9" t="s">
        <v>8</v>
      </c>
      <c r="B8" s="10"/>
      <c r="C8" s="27" t="e">
        <f>#REF!</f>
        <v>#REF!</v>
      </c>
      <c r="D8" s="10"/>
      <c r="E8" s="123">
        <f>'[3]QUADRO PESSOAL'!$K$76</f>
        <v>91124</v>
      </c>
      <c r="F8" s="124">
        <v>79629</v>
      </c>
      <c r="G8" s="61">
        <f t="shared" si="0"/>
        <v>11495</v>
      </c>
    </row>
    <row r="9" spans="1:7" ht="14.25" customHeight="1">
      <c r="A9" s="9" t="s">
        <v>9</v>
      </c>
      <c r="B9" s="12"/>
      <c r="C9" s="125" t="e">
        <f>#REF!</f>
        <v>#REF!</v>
      </c>
      <c r="D9" s="12"/>
      <c r="E9" s="126">
        <f>'[3]QUADRO PESSOAL'!$AM$76</f>
        <v>56752.66933333333</v>
      </c>
      <c r="F9" s="124">
        <v>53204.46</v>
      </c>
      <c r="G9" s="61">
        <f t="shared" si="0"/>
        <v>3548.2093333333323</v>
      </c>
    </row>
    <row r="10" spans="1:7" ht="14.25" customHeight="1">
      <c r="A10" s="9" t="s">
        <v>10</v>
      </c>
      <c r="B10" s="12"/>
      <c r="C10" s="125" t="e">
        <f>#REF!</f>
        <v>#REF!</v>
      </c>
      <c r="D10" s="12"/>
      <c r="E10" s="126">
        <f>'[3]QUADRO PESSOAL'!$AN$76</f>
        <v>11350.533866666667</v>
      </c>
      <c r="F10" s="124">
        <v>10640.89</v>
      </c>
      <c r="G10" s="61">
        <f t="shared" si="0"/>
        <v>709.6438666666672</v>
      </c>
    </row>
    <row r="11" spans="1:7" ht="14.25" customHeight="1">
      <c r="A11" s="9" t="s">
        <v>98</v>
      </c>
      <c r="B11" s="16" t="e">
        <f>#REF!</f>
        <v>#REF!</v>
      </c>
      <c r="C11" s="127" t="e">
        <f>#REF!</f>
        <v>#REF!</v>
      </c>
      <c r="D11" s="16">
        <f>'[3]ENCARGOS TRABALHISTAS'!$G$44</f>
        <v>61.14</v>
      </c>
      <c r="E11" s="128">
        <f>'[3]ENCARGOS TRABALHISTAS'!$I$44</f>
        <v>671211.5000000001</v>
      </c>
      <c r="F11" s="124">
        <v>640870.73</v>
      </c>
      <c r="G11" s="61">
        <f t="shared" si="0"/>
        <v>30340.770000000135</v>
      </c>
    </row>
    <row r="12" spans="1:7" ht="14.25" customHeight="1">
      <c r="A12" s="9" t="s">
        <v>99</v>
      </c>
      <c r="B12" s="16">
        <v>0</v>
      </c>
      <c r="C12" s="127">
        <v>0</v>
      </c>
      <c r="D12" s="16">
        <f>'[3]ENCARGOS TRABALHISTAS'!$G$46</f>
        <v>1</v>
      </c>
      <c r="E12" s="128">
        <f>'[3]ENCARGOS TRABALHISTAS'!$I$46</f>
        <v>13167.33</v>
      </c>
      <c r="F12" s="124">
        <v>11843.76</v>
      </c>
      <c r="G12" s="61">
        <f t="shared" si="0"/>
        <v>1323.5699999999997</v>
      </c>
    </row>
    <row r="13" spans="1:8" ht="14.25" customHeight="1" hidden="1">
      <c r="A13" s="129" t="s">
        <v>100</v>
      </c>
      <c r="B13" s="130" t="e">
        <f>#REF!</f>
        <v>#REF!</v>
      </c>
      <c r="C13" s="131" t="e">
        <f>#REF!</f>
        <v>#REF!</v>
      </c>
      <c r="D13" s="10">
        <f>'[3]QUADRO PESSOAL'!G83</f>
        <v>0</v>
      </c>
      <c r="E13" s="13">
        <f>'[3]QUADRO PESSOAL'!I83</f>
        <v>0</v>
      </c>
      <c r="F13" s="60">
        <v>0</v>
      </c>
      <c r="G13" s="61">
        <f t="shared" si="0"/>
        <v>0</v>
      </c>
      <c r="H13" s="142"/>
    </row>
    <row r="14" spans="1:7" ht="14.25" customHeight="1" hidden="1">
      <c r="A14" s="129" t="s">
        <v>101</v>
      </c>
      <c r="B14" s="132"/>
      <c r="C14" s="133" t="e">
        <f>#REF!</f>
        <v>#REF!</v>
      </c>
      <c r="D14" s="10"/>
      <c r="E14" s="11">
        <f>'[3]QUADRO PESSOAL'!K83</f>
        <v>0</v>
      </c>
      <c r="F14" s="60">
        <v>0</v>
      </c>
      <c r="G14" s="61">
        <f t="shared" si="0"/>
        <v>0</v>
      </c>
    </row>
    <row r="15" spans="1:8" ht="14.25" customHeight="1" hidden="1">
      <c r="A15" s="129" t="s">
        <v>102</v>
      </c>
      <c r="B15" s="134"/>
      <c r="C15" s="135" t="e">
        <f>#REF!</f>
        <v>#REF!</v>
      </c>
      <c r="D15" s="12"/>
      <c r="E15" s="13">
        <f>'[3]QUADRO PESSOAL'!AM83</f>
        <v>0</v>
      </c>
      <c r="F15" s="60">
        <v>0</v>
      </c>
      <c r="G15" s="61">
        <f t="shared" si="0"/>
        <v>0</v>
      </c>
      <c r="H15" s="142"/>
    </row>
    <row r="16" spans="1:7" ht="14.25" customHeight="1" hidden="1">
      <c r="A16" s="129" t="s">
        <v>103</v>
      </c>
      <c r="B16" s="134"/>
      <c r="C16" s="135" t="e">
        <f>#REF!</f>
        <v>#REF!</v>
      </c>
      <c r="D16" s="12"/>
      <c r="E16" s="13">
        <f>'[3]QUADRO PESSOAL'!AN83</f>
        <v>0</v>
      </c>
      <c r="F16" s="60">
        <v>0</v>
      </c>
      <c r="G16" s="61">
        <f t="shared" si="0"/>
        <v>0</v>
      </c>
    </row>
    <row r="17" spans="1:7" ht="14.25" customHeight="1" hidden="1">
      <c r="A17" s="129" t="s">
        <v>104</v>
      </c>
      <c r="B17" s="130">
        <v>0</v>
      </c>
      <c r="C17" s="131">
        <v>0</v>
      </c>
      <c r="D17" s="16">
        <v>20</v>
      </c>
      <c r="E17" s="17">
        <f>(E13+E14+E15+E16)*((D17/100))</f>
        <v>0</v>
      </c>
      <c r="F17" s="60">
        <v>0</v>
      </c>
      <c r="G17" s="61">
        <f t="shared" si="0"/>
        <v>0</v>
      </c>
    </row>
    <row r="18" spans="1:7" ht="14.25" customHeight="1">
      <c r="A18" s="9" t="s">
        <v>107</v>
      </c>
      <c r="B18" s="15"/>
      <c r="C18" s="125" t="e">
        <f>#REF!-#REF!</f>
        <v>#REF!</v>
      </c>
      <c r="D18" s="15"/>
      <c r="E18" s="126">
        <f>'[3]QUADRO PESSOAL'!X76-'[3]QUADRO PESSOAL'!Y76</f>
        <v>32034.20000000003</v>
      </c>
      <c r="F18" s="145">
        <v>19072.4</v>
      </c>
      <c r="G18" s="61">
        <f>E18-F18</f>
        <v>12961.800000000028</v>
      </c>
    </row>
    <row r="19" spans="1:7" ht="14.25" customHeight="1">
      <c r="A19" s="9" t="s">
        <v>108</v>
      </c>
      <c r="B19" s="15"/>
      <c r="C19" s="125"/>
      <c r="D19" s="15"/>
      <c r="E19" s="146">
        <f>(((D7+D13+D21)*'[3]PREMISSAS-PARÂMETROS'!C17)/'[3]PREMISSAS-PARÂMETROS'!C3)</f>
        <v>20720</v>
      </c>
      <c r="F19" s="145">
        <v>0</v>
      </c>
      <c r="G19" s="61">
        <f t="shared" si="0"/>
        <v>20720</v>
      </c>
    </row>
    <row r="20" spans="1:7" ht="14.25" customHeight="1">
      <c r="A20" s="18" t="s">
        <v>109</v>
      </c>
      <c r="B20" s="19"/>
      <c r="C20" s="125" t="e">
        <f>#REF!*35</f>
        <v>#REF!</v>
      </c>
      <c r="D20" s="19"/>
      <c r="E20" s="126">
        <f>'[3]QUADRO PESSOAL'!$G$76*'[3]PREMISSAS-PARÂMETROS'!$C$24</f>
        <v>1831.2</v>
      </c>
      <c r="F20" s="60">
        <v>1600.2</v>
      </c>
      <c r="G20" s="61">
        <f t="shared" si="0"/>
        <v>231</v>
      </c>
    </row>
    <row r="21" spans="1:10" ht="14.25" customHeight="1">
      <c r="A21" s="20" t="s">
        <v>110</v>
      </c>
      <c r="B21" s="19"/>
      <c r="C21" s="125" t="e">
        <f>#REF!*35</f>
        <v>#REF!</v>
      </c>
      <c r="D21" s="136">
        <f>'[3]QUADRO PESSOAL'!G106</f>
        <v>82</v>
      </c>
      <c r="E21" s="137">
        <f>'[3]QUADRO PESSOAL'!S106</f>
        <v>1642464.3900000001</v>
      </c>
      <c r="F21" s="138">
        <v>1675114.15</v>
      </c>
      <c r="G21" s="68">
        <f t="shared" si="0"/>
        <v>-32649.759999999776</v>
      </c>
      <c r="H21" s="147">
        <v>92</v>
      </c>
      <c r="I21" s="139"/>
      <c r="J21" s="142"/>
    </row>
    <row r="22" spans="1:10" s="6" customFormat="1" ht="14.25" customHeight="1">
      <c r="A22" s="141" t="s">
        <v>21</v>
      </c>
      <c r="B22" s="21"/>
      <c r="C22" s="4">
        <f>SUM(C23:C29)</f>
        <v>159000</v>
      </c>
      <c r="D22" s="21"/>
      <c r="E22" s="69">
        <f>SUM(E23:E29)</f>
        <v>805000</v>
      </c>
      <c r="F22" s="21">
        <f>SUM(F23:F29)</f>
        <v>1058125</v>
      </c>
      <c r="G22" s="22">
        <f>SUM(G23:G29)</f>
        <v>-253125</v>
      </c>
      <c r="H22" s="148">
        <f>H7+H21</f>
        <v>467</v>
      </c>
      <c r="J22" s="143"/>
    </row>
    <row r="23" spans="1:7" ht="14.25" customHeight="1">
      <c r="A23" s="9" t="s">
        <v>22</v>
      </c>
      <c r="B23" s="23"/>
      <c r="C23" s="70">
        <v>90000</v>
      </c>
      <c r="D23" s="23"/>
      <c r="E23" s="71">
        <v>345000</v>
      </c>
      <c r="F23" s="149">
        <v>356250</v>
      </c>
      <c r="G23" s="150">
        <f t="shared" si="0"/>
        <v>-11250</v>
      </c>
    </row>
    <row r="24" spans="1:7" ht="14.25" customHeight="1">
      <c r="A24" s="18" t="s">
        <v>23</v>
      </c>
      <c r="B24" s="24"/>
      <c r="C24" s="62">
        <v>0</v>
      </c>
      <c r="D24" s="24"/>
      <c r="E24" s="66">
        <v>380000</v>
      </c>
      <c r="F24" s="145">
        <v>391875</v>
      </c>
      <c r="G24" s="151">
        <f t="shared" si="0"/>
        <v>-11875</v>
      </c>
    </row>
    <row r="25" spans="1:7" ht="14.25" customHeight="1">
      <c r="A25" s="18" t="s">
        <v>24</v>
      </c>
      <c r="B25" s="24"/>
      <c r="C25" s="62"/>
      <c r="D25" s="24"/>
      <c r="E25" s="66">
        <v>25000</v>
      </c>
      <c r="F25" s="145">
        <v>35000</v>
      </c>
      <c r="G25" s="151">
        <f t="shared" si="0"/>
        <v>-10000</v>
      </c>
    </row>
    <row r="26" spans="1:7" ht="14.25" customHeight="1">
      <c r="A26" s="18" t="s">
        <v>25</v>
      </c>
      <c r="B26" s="24"/>
      <c r="C26" s="58">
        <v>32000</v>
      </c>
      <c r="D26" s="24"/>
      <c r="E26" s="72">
        <v>55000</v>
      </c>
      <c r="F26" s="145">
        <v>123500</v>
      </c>
      <c r="G26" s="151">
        <f t="shared" si="0"/>
        <v>-68500</v>
      </c>
    </row>
    <row r="27" spans="1:8" ht="14.25" customHeight="1">
      <c r="A27" s="18" t="s">
        <v>26</v>
      </c>
      <c r="B27" s="24"/>
      <c r="C27" s="58">
        <v>32000</v>
      </c>
      <c r="D27" s="24"/>
      <c r="E27" s="72">
        <v>0</v>
      </c>
      <c r="F27" s="145">
        <v>1500</v>
      </c>
      <c r="G27" s="151">
        <f t="shared" si="0"/>
        <v>-1500</v>
      </c>
      <c r="H27" s="142">
        <f>H47</f>
        <v>-132697.8786666666</v>
      </c>
    </row>
    <row r="28" spans="1:7" ht="14.25" customHeight="1">
      <c r="A28" s="18" t="s">
        <v>27</v>
      </c>
      <c r="B28" s="25"/>
      <c r="C28" s="73">
        <v>2500</v>
      </c>
      <c r="D28" s="28" t="s">
        <v>111</v>
      </c>
      <c r="E28" s="72">
        <v>0</v>
      </c>
      <c r="F28" s="145">
        <v>50000</v>
      </c>
      <c r="G28" s="151">
        <f t="shared" si="0"/>
        <v>-50000</v>
      </c>
    </row>
    <row r="29" spans="1:7" ht="14.25" customHeight="1">
      <c r="A29" s="20" t="s">
        <v>28</v>
      </c>
      <c r="B29" s="25"/>
      <c r="C29" s="73">
        <v>2500</v>
      </c>
      <c r="D29" s="152" t="s">
        <v>111</v>
      </c>
      <c r="E29" s="74">
        <v>0</v>
      </c>
      <c r="F29" s="153">
        <v>100000</v>
      </c>
      <c r="G29" s="154">
        <f t="shared" si="0"/>
        <v>-100000</v>
      </c>
    </row>
    <row r="30" spans="1:7" s="6" customFormat="1" ht="14.25" customHeight="1">
      <c r="A30" s="141" t="s">
        <v>29</v>
      </c>
      <c r="B30" s="21"/>
      <c r="C30" s="4">
        <f>SUM(C31:C61)</f>
        <v>704600.61</v>
      </c>
      <c r="D30" s="21"/>
      <c r="E30" s="69">
        <f>SUM(E31:E61)</f>
        <v>2800869.333333333</v>
      </c>
      <c r="F30" s="21">
        <f>SUM(F31:F61)</f>
        <v>2283270.33</v>
      </c>
      <c r="G30" s="22">
        <f>SUM(G31:G61)</f>
        <v>517599.0033333333</v>
      </c>
    </row>
    <row r="31" spans="1:7" ht="14.25" customHeight="1">
      <c r="A31" s="18" t="s">
        <v>30</v>
      </c>
      <c r="B31" s="23"/>
      <c r="C31" s="70">
        <v>12000</v>
      </c>
      <c r="D31" s="26"/>
      <c r="E31" s="75">
        <v>45000</v>
      </c>
      <c r="F31" s="149">
        <v>60000</v>
      </c>
      <c r="G31" s="150">
        <f t="shared" si="0"/>
        <v>-15000</v>
      </c>
    </row>
    <row r="32" spans="1:7" ht="14.25" customHeight="1">
      <c r="A32" s="27" t="s">
        <v>31</v>
      </c>
      <c r="B32" s="24"/>
      <c r="C32" s="62">
        <v>25000</v>
      </c>
      <c r="D32" s="28"/>
      <c r="E32" s="76">
        <v>55000</v>
      </c>
      <c r="F32" s="145">
        <v>60000</v>
      </c>
      <c r="G32" s="151">
        <f t="shared" si="0"/>
        <v>-5000</v>
      </c>
    </row>
    <row r="33" spans="1:7" ht="14.25" customHeight="1">
      <c r="A33" s="29" t="s">
        <v>32</v>
      </c>
      <c r="B33" s="24"/>
      <c r="C33" s="62">
        <v>3500</v>
      </c>
      <c r="D33" s="24"/>
      <c r="E33" s="76">
        <v>5000</v>
      </c>
      <c r="F33" s="145">
        <v>10000</v>
      </c>
      <c r="G33" s="151">
        <f t="shared" si="0"/>
        <v>-5000</v>
      </c>
    </row>
    <row r="34" spans="1:7" ht="14.25" customHeight="1">
      <c r="A34" s="18" t="s">
        <v>33</v>
      </c>
      <c r="B34" s="24"/>
      <c r="C34" s="62">
        <f>('[3]PREMISSAS-PARÂMETROS'!E43)</f>
        <v>221600.61</v>
      </c>
      <c r="D34" s="24"/>
      <c r="E34" s="76">
        <v>560000</v>
      </c>
      <c r="F34" s="145">
        <v>331312</v>
      </c>
      <c r="G34" s="151">
        <f t="shared" si="0"/>
        <v>228688</v>
      </c>
    </row>
    <row r="35" spans="1:7" ht="14.25" customHeight="1">
      <c r="A35" s="27" t="s">
        <v>112</v>
      </c>
      <c r="B35" s="24"/>
      <c r="C35" s="62">
        <v>0</v>
      </c>
      <c r="D35" s="24"/>
      <c r="E35" s="76">
        <v>25000</v>
      </c>
      <c r="F35" s="145">
        <v>0</v>
      </c>
      <c r="G35" s="151">
        <f t="shared" si="0"/>
        <v>25000</v>
      </c>
    </row>
    <row r="36" spans="1:7" ht="14.25" customHeight="1">
      <c r="A36" s="27" t="s">
        <v>113</v>
      </c>
      <c r="B36" s="24"/>
      <c r="C36" s="62">
        <v>9000</v>
      </c>
      <c r="D36" s="24"/>
      <c r="E36" s="76">
        <v>23750</v>
      </c>
      <c r="F36" s="145">
        <v>23750</v>
      </c>
      <c r="G36" s="151">
        <f t="shared" si="0"/>
        <v>0</v>
      </c>
    </row>
    <row r="37" spans="1:7" ht="14.25" customHeight="1">
      <c r="A37" s="29" t="s">
        <v>114</v>
      </c>
      <c r="B37" s="24"/>
      <c r="C37" s="62">
        <v>70000</v>
      </c>
      <c r="D37" s="24"/>
      <c r="E37" s="76">
        <v>200000</v>
      </c>
      <c r="F37" s="145">
        <v>200000</v>
      </c>
      <c r="G37" s="151">
        <f t="shared" si="0"/>
        <v>0</v>
      </c>
    </row>
    <row r="38" spans="1:7" ht="14.25" customHeight="1">
      <c r="A38" s="29" t="s">
        <v>115</v>
      </c>
      <c r="B38" s="24"/>
      <c r="C38" s="62">
        <v>12000</v>
      </c>
      <c r="D38" s="24"/>
      <c r="E38" s="76">
        <f>38475+40000</f>
        <v>78475</v>
      </c>
      <c r="F38" s="145">
        <v>38475</v>
      </c>
      <c r="G38" s="151">
        <f t="shared" si="0"/>
        <v>40000</v>
      </c>
    </row>
    <row r="39" spans="1:7" ht="14.25" customHeight="1">
      <c r="A39" s="27" t="s">
        <v>116</v>
      </c>
      <c r="B39" s="24"/>
      <c r="C39" s="62">
        <v>5000</v>
      </c>
      <c r="D39" s="24"/>
      <c r="E39" s="76">
        <v>250000</v>
      </c>
      <c r="F39" s="145">
        <v>16150</v>
      </c>
      <c r="G39" s="151">
        <f t="shared" si="0"/>
        <v>233850</v>
      </c>
    </row>
    <row r="40" spans="1:7" ht="14.25" customHeight="1">
      <c r="A40" s="29" t="s">
        <v>117</v>
      </c>
      <c r="B40" s="24"/>
      <c r="C40" s="62"/>
      <c r="D40" s="24"/>
      <c r="E40" s="76">
        <v>80000</v>
      </c>
      <c r="F40" s="145"/>
      <c r="G40" s="151">
        <f t="shared" si="0"/>
        <v>80000</v>
      </c>
    </row>
    <row r="41" spans="1:47" ht="14.25" customHeight="1">
      <c r="A41" s="29" t="s">
        <v>118</v>
      </c>
      <c r="B41" s="24"/>
      <c r="C41" s="62">
        <v>65000</v>
      </c>
      <c r="D41" s="24"/>
      <c r="E41" s="76">
        <v>350000</v>
      </c>
      <c r="F41" s="145">
        <v>308750</v>
      </c>
      <c r="G41" s="151">
        <f t="shared" si="0"/>
        <v>41250</v>
      </c>
      <c r="AU41" s="30"/>
    </row>
    <row r="42" spans="1:7" ht="14.25" customHeight="1">
      <c r="A42" s="29" t="s">
        <v>119</v>
      </c>
      <c r="B42" s="24"/>
      <c r="C42" s="62">
        <v>80000</v>
      </c>
      <c r="D42" s="24"/>
      <c r="E42" s="76">
        <v>400000</v>
      </c>
      <c r="F42" s="145">
        <v>342000</v>
      </c>
      <c r="G42" s="151">
        <f t="shared" si="0"/>
        <v>58000</v>
      </c>
    </row>
    <row r="43" spans="1:7" ht="14.25" customHeight="1">
      <c r="A43" s="29" t="s">
        <v>120</v>
      </c>
      <c r="B43" s="24"/>
      <c r="C43" s="62">
        <v>20000</v>
      </c>
      <c r="D43" s="24"/>
      <c r="E43" s="76">
        <v>16150</v>
      </c>
      <c r="F43" s="145">
        <v>16150</v>
      </c>
      <c r="G43" s="151">
        <f t="shared" si="0"/>
        <v>0</v>
      </c>
    </row>
    <row r="44" spans="1:7" ht="14.25" customHeight="1">
      <c r="A44" s="29" t="s">
        <v>121</v>
      </c>
      <c r="B44" s="24"/>
      <c r="C44" s="62">
        <v>38000</v>
      </c>
      <c r="D44" s="24"/>
      <c r="E44" s="76">
        <v>190000</v>
      </c>
      <c r="F44" s="145">
        <v>190000</v>
      </c>
      <c r="G44" s="151">
        <f t="shared" si="0"/>
        <v>0</v>
      </c>
    </row>
    <row r="45" spans="1:7" ht="14.25" customHeight="1">
      <c r="A45" s="29" t="s">
        <v>122</v>
      </c>
      <c r="B45" s="24"/>
      <c r="C45" s="62">
        <v>22000</v>
      </c>
      <c r="D45" s="24"/>
      <c r="E45" s="76">
        <v>50000</v>
      </c>
      <c r="F45" s="145">
        <v>57000</v>
      </c>
      <c r="G45" s="151">
        <f t="shared" si="0"/>
        <v>-7000</v>
      </c>
    </row>
    <row r="46" spans="1:7" ht="14.25" customHeight="1">
      <c r="A46" s="29" t="s">
        <v>123</v>
      </c>
      <c r="B46" s="24"/>
      <c r="C46" s="62">
        <v>5000</v>
      </c>
      <c r="D46" s="24"/>
      <c r="E46" s="76">
        <v>16150</v>
      </c>
      <c r="F46" s="145">
        <v>16150</v>
      </c>
      <c r="G46" s="151">
        <f t="shared" si="0"/>
        <v>0</v>
      </c>
    </row>
    <row r="47" spans="1:8" ht="14.25" customHeight="1">
      <c r="A47" s="29" t="s">
        <v>124</v>
      </c>
      <c r="B47" s="24"/>
      <c r="C47" s="62">
        <v>0</v>
      </c>
      <c r="D47" s="24"/>
      <c r="E47" s="76">
        <f>25000+5000</f>
        <v>30000</v>
      </c>
      <c r="F47" s="145">
        <v>0</v>
      </c>
      <c r="G47" s="151">
        <f t="shared" si="0"/>
        <v>30000</v>
      </c>
      <c r="H47" s="142">
        <f>H56</f>
        <v>-132697.8786666666</v>
      </c>
    </row>
    <row r="48" spans="1:7" ht="14.25" customHeight="1">
      <c r="A48" s="29" t="s">
        <v>125</v>
      </c>
      <c r="B48" s="24"/>
      <c r="C48" s="62">
        <v>0</v>
      </c>
      <c r="D48" s="24"/>
      <c r="E48" s="76">
        <v>50000</v>
      </c>
      <c r="F48" s="145">
        <v>0</v>
      </c>
      <c r="G48" s="151">
        <f t="shared" si="0"/>
        <v>50000</v>
      </c>
    </row>
    <row r="49" spans="1:7" ht="14.25" customHeight="1">
      <c r="A49" s="29" t="s">
        <v>126</v>
      </c>
      <c r="B49" s="24"/>
      <c r="C49" s="62">
        <v>500</v>
      </c>
      <c r="D49" s="24"/>
      <c r="E49" s="76">
        <v>5000</v>
      </c>
      <c r="F49" s="145">
        <v>0</v>
      </c>
      <c r="G49" s="151">
        <f t="shared" si="0"/>
        <v>5000</v>
      </c>
    </row>
    <row r="50" spans="1:7" ht="14.25" customHeight="1">
      <c r="A50" s="29" t="s">
        <v>127</v>
      </c>
      <c r="B50" s="24"/>
      <c r="C50" s="62">
        <v>0</v>
      </c>
      <c r="D50" s="24"/>
      <c r="E50" s="76">
        <f>6000+8000</f>
        <v>14000</v>
      </c>
      <c r="F50" s="145">
        <v>0</v>
      </c>
      <c r="G50" s="151">
        <f t="shared" si="0"/>
        <v>14000</v>
      </c>
    </row>
    <row r="51" spans="1:7" ht="14.25" customHeight="1">
      <c r="A51" s="29" t="s">
        <v>128</v>
      </c>
      <c r="B51" s="24"/>
      <c r="C51" s="62">
        <v>0</v>
      </c>
      <c r="D51" s="24"/>
      <c r="E51" s="76">
        <f>39500/3</f>
        <v>13166.666666666666</v>
      </c>
      <c r="F51" s="145">
        <v>35000</v>
      </c>
      <c r="G51" s="151">
        <f t="shared" si="0"/>
        <v>-21833.333333333336</v>
      </c>
    </row>
    <row r="52" spans="1:7" ht="14.25" customHeight="1">
      <c r="A52" s="29" t="s">
        <v>129</v>
      </c>
      <c r="B52" s="24"/>
      <c r="C52" s="62">
        <v>0</v>
      </c>
      <c r="D52" s="24"/>
      <c r="E52" s="76">
        <v>15000</v>
      </c>
      <c r="F52" s="145">
        <v>15000</v>
      </c>
      <c r="G52" s="151">
        <f t="shared" si="0"/>
        <v>0</v>
      </c>
    </row>
    <row r="53" spans="1:7" ht="14.25" customHeight="1">
      <c r="A53" s="29" t="s">
        <v>130</v>
      </c>
      <c r="B53" s="24"/>
      <c r="C53" s="62">
        <v>0</v>
      </c>
      <c r="D53" s="98">
        <v>2</v>
      </c>
      <c r="E53" s="76">
        <f>D53*30000</f>
        <v>60000</v>
      </c>
      <c r="F53" s="145">
        <v>25920</v>
      </c>
      <c r="G53" s="151">
        <f t="shared" si="0"/>
        <v>34080</v>
      </c>
    </row>
    <row r="54" spans="1:7" ht="14.25" customHeight="1">
      <c r="A54" s="29" t="s">
        <v>131</v>
      </c>
      <c r="B54" s="24"/>
      <c r="C54" s="62">
        <f>2*38000</f>
        <v>76000</v>
      </c>
      <c r="D54" s="24"/>
      <c r="E54" s="76">
        <v>90000</v>
      </c>
      <c r="F54" s="145">
        <v>105000</v>
      </c>
      <c r="G54" s="151">
        <f t="shared" si="0"/>
        <v>-15000</v>
      </c>
    </row>
    <row r="55" spans="1:7" ht="14.25" customHeight="1">
      <c r="A55" s="29" t="s">
        <v>132</v>
      </c>
      <c r="B55" s="24"/>
      <c r="C55" s="62">
        <v>20000</v>
      </c>
      <c r="D55" s="24"/>
      <c r="E55" s="76">
        <f>113300/3</f>
        <v>37766.666666666664</v>
      </c>
      <c r="F55" s="145">
        <v>170000</v>
      </c>
      <c r="G55" s="151">
        <f t="shared" si="0"/>
        <v>-132233.33333333334</v>
      </c>
    </row>
    <row r="56" spans="1:8" ht="14.25" customHeight="1">
      <c r="A56" s="29" t="s">
        <v>133</v>
      </c>
      <c r="B56" s="24"/>
      <c r="C56" s="62">
        <v>0</v>
      </c>
      <c r="D56" s="24"/>
      <c r="E56" s="76">
        <v>10000</v>
      </c>
      <c r="F56" s="145">
        <v>10000</v>
      </c>
      <c r="G56" s="151">
        <f t="shared" si="0"/>
        <v>0</v>
      </c>
      <c r="H56" s="142">
        <f>E89</f>
        <v>-132697.8786666666</v>
      </c>
    </row>
    <row r="57" spans="1:7" ht="14.25" customHeight="1">
      <c r="A57" s="29" t="s">
        <v>134</v>
      </c>
      <c r="B57" s="24"/>
      <c r="C57" s="62">
        <v>3500</v>
      </c>
      <c r="D57" s="24"/>
      <c r="E57" s="76">
        <f>((D7+D13+D21)*'[3]PREMISSAS-PARÂMETROS'!C18*2)/'[3]PREMISSAS-PARÂMETROS'!C3</f>
        <v>41440</v>
      </c>
      <c r="F57" s="145">
        <v>12613.33</v>
      </c>
      <c r="G57" s="151">
        <f t="shared" si="0"/>
        <v>28826.67</v>
      </c>
    </row>
    <row r="58" spans="1:7" ht="14.25" customHeight="1" hidden="1">
      <c r="A58" s="29" t="s">
        <v>65</v>
      </c>
      <c r="B58" s="24"/>
      <c r="C58" s="62">
        <v>1500</v>
      </c>
      <c r="D58" s="24"/>
      <c r="E58" s="76">
        <v>0</v>
      </c>
      <c r="F58" s="145">
        <v>120000</v>
      </c>
      <c r="G58" s="151">
        <f t="shared" si="0"/>
        <v>-120000</v>
      </c>
    </row>
    <row r="59" spans="1:7" ht="14.25" customHeight="1">
      <c r="A59" s="29" t="s">
        <v>135</v>
      </c>
      <c r="B59" s="24"/>
      <c r="C59" s="62">
        <v>5000</v>
      </c>
      <c r="D59" s="24"/>
      <c r="E59" s="76">
        <v>10000</v>
      </c>
      <c r="F59" s="145">
        <v>15000</v>
      </c>
      <c r="G59" s="151">
        <f t="shared" si="0"/>
        <v>-5000</v>
      </c>
    </row>
    <row r="60" spans="1:7" ht="14.25" customHeight="1" hidden="1">
      <c r="A60" s="29" t="s">
        <v>67</v>
      </c>
      <c r="B60" s="24"/>
      <c r="C60" s="62">
        <v>5000</v>
      </c>
      <c r="D60" s="24"/>
      <c r="E60" s="76">
        <v>0</v>
      </c>
      <c r="F60" s="145">
        <v>15000</v>
      </c>
      <c r="G60" s="151">
        <f t="shared" si="0"/>
        <v>-15000</v>
      </c>
    </row>
    <row r="61" spans="1:7" ht="14.25" customHeight="1">
      <c r="A61" s="32" t="s">
        <v>136</v>
      </c>
      <c r="B61" s="24"/>
      <c r="C61" s="62">
        <v>5000</v>
      </c>
      <c r="D61" s="77">
        <v>5</v>
      </c>
      <c r="E61" s="76">
        <f>D61*'[3]PREMISSAS-PARÂMETROS'!C15</f>
        <v>79971</v>
      </c>
      <c r="F61" s="153">
        <v>90000</v>
      </c>
      <c r="G61" s="154">
        <f t="shared" si="0"/>
        <v>-10029</v>
      </c>
    </row>
    <row r="62" spans="1:7" s="6" customFormat="1" ht="14.25" customHeight="1">
      <c r="A62" s="141" t="s">
        <v>69</v>
      </c>
      <c r="B62" s="21"/>
      <c r="C62" s="4">
        <f>SUM(C63:C73)</f>
        <v>109200</v>
      </c>
      <c r="D62" s="21"/>
      <c r="E62" s="69">
        <f>SUM(E63:E73)</f>
        <v>320300</v>
      </c>
      <c r="F62" s="21">
        <f>SUM(F63:F73)</f>
        <v>248250</v>
      </c>
      <c r="G62" s="22">
        <f>SUM(G63:G73)</f>
        <v>72050</v>
      </c>
    </row>
    <row r="63" spans="1:7" ht="14.25" customHeight="1">
      <c r="A63" s="29" t="s">
        <v>70</v>
      </c>
      <c r="B63" s="24"/>
      <c r="C63" s="62">
        <v>12000</v>
      </c>
      <c r="D63" s="24"/>
      <c r="E63" s="76">
        <f>(D7+D13+D21)*'[3]PREMISSAS-PARÂMETROS'!C16</f>
        <v>51800</v>
      </c>
      <c r="F63" s="149">
        <v>35000</v>
      </c>
      <c r="G63" s="150">
        <f aca="true" t="shared" si="1" ref="G63:G85">E63-F63</f>
        <v>16800</v>
      </c>
    </row>
    <row r="64" spans="1:7" ht="14.25" customHeight="1">
      <c r="A64" s="29" t="s">
        <v>137</v>
      </c>
      <c r="B64" s="24"/>
      <c r="C64" s="62">
        <v>5000</v>
      </c>
      <c r="D64" s="24"/>
      <c r="E64" s="76">
        <v>27000</v>
      </c>
      <c r="F64" s="145">
        <v>20000</v>
      </c>
      <c r="G64" s="151">
        <f t="shared" si="1"/>
        <v>7000</v>
      </c>
    </row>
    <row r="65" spans="1:7" ht="14.25" customHeight="1">
      <c r="A65" s="29" t="s">
        <v>138</v>
      </c>
      <c r="B65" s="24"/>
      <c r="C65" s="62">
        <v>5000</v>
      </c>
      <c r="D65" s="24"/>
      <c r="E65" s="76">
        <v>7000</v>
      </c>
      <c r="F65" s="145">
        <v>25000</v>
      </c>
      <c r="G65" s="151">
        <f t="shared" si="1"/>
        <v>-18000</v>
      </c>
    </row>
    <row r="66" spans="1:7" ht="14.25" customHeight="1">
      <c r="A66" s="29" t="s">
        <v>139</v>
      </c>
      <c r="B66" s="24"/>
      <c r="C66" s="62">
        <v>10500</v>
      </c>
      <c r="D66" s="24"/>
      <c r="E66" s="76">
        <v>20000</v>
      </c>
      <c r="F66" s="145">
        <v>20000</v>
      </c>
      <c r="G66" s="151">
        <f t="shared" si="1"/>
        <v>0</v>
      </c>
    </row>
    <row r="67" spans="1:7" ht="14.25" customHeight="1">
      <c r="A67" s="29" t="s">
        <v>140</v>
      </c>
      <c r="B67" s="24"/>
      <c r="C67" s="62">
        <v>25000</v>
      </c>
      <c r="D67" s="24"/>
      <c r="E67" s="76">
        <f>25000</f>
        <v>25000</v>
      </c>
      <c r="F67" s="145">
        <v>25000</v>
      </c>
      <c r="G67" s="151">
        <f t="shared" si="1"/>
        <v>0</v>
      </c>
    </row>
    <row r="68" spans="1:7" ht="14.25" customHeight="1">
      <c r="A68" s="27" t="s">
        <v>141</v>
      </c>
      <c r="B68" s="24"/>
      <c r="C68" s="62"/>
      <c r="D68" s="24"/>
      <c r="E68" s="76">
        <v>20000</v>
      </c>
      <c r="F68" s="145">
        <v>0</v>
      </c>
      <c r="G68" s="151">
        <f t="shared" si="1"/>
        <v>20000</v>
      </c>
    </row>
    <row r="69" spans="1:7" ht="14.25" customHeight="1">
      <c r="A69" s="27" t="s">
        <v>97</v>
      </c>
      <c r="B69" s="24"/>
      <c r="C69" s="62">
        <v>2200</v>
      </c>
      <c r="D69" s="24"/>
      <c r="E69" s="76">
        <f>(D7+D13+D21)*'[3]PREMISSAS-PARÂMETROS'!C19</f>
        <v>129500</v>
      </c>
      <c r="F69" s="145">
        <v>118250</v>
      </c>
      <c r="G69" s="151">
        <f t="shared" si="1"/>
        <v>11250</v>
      </c>
    </row>
    <row r="70" spans="1:7" ht="14.25" customHeight="1">
      <c r="A70" s="27" t="s">
        <v>76</v>
      </c>
      <c r="B70" s="33"/>
      <c r="C70" s="78">
        <v>35000</v>
      </c>
      <c r="D70" s="77"/>
      <c r="E70" s="79">
        <v>40000</v>
      </c>
      <c r="F70" s="153">
        <v>5000</v>
      </c>
      <c r="G70" s="154">
        <f t="shared" si="1"/>
        <v>35000</v>
      </c>
    </row>
    <row r="71" spans="1:7" ht="14.25" customHeight="1" hidden="1">
      <c r="A71" s="27" t="s">
        <v>77</v>
      </c>
      <c r="B71" s="24"/>
      <c r="C71" s="58">
        <v>5500</v>
      </c>
      <c r="D71" s="24"/>
      <c r="E71" s="76">
        <v>0</v>
      </c>
      <c r="F71" s="80"/>
      <c r="G71" s="81">
        <f t="shared" si="1"/>
        <v>0</v>
      </c>
    </row>
    <row r="72" spans="1:7" ht="14.25" customHeight="1" hidden="1">
      <c r="A72" s="27" t="s">
        <v>78</v>
      </c>
      <c r="B72" s="24"/>
      <c r="C72" s="58">
        <v>4500</v>
      </c>
      <c r="D72" s="24"/>
      <c r="E72" s="76">
        <v>0</v>
      </c>
      <c r="F72" s="80"/>
      <c r="G72" s="81">
        <f t="shared" si="1"/>
        <v>0</v>
      </c>
    </row>
    <row r="73" spans="1:7" ht="14.25" customHeight="1" hidden="1">
      <c r="A73" s="34" t="s">
        <v>79</v>
      </c>
      <c r="B73" s="25"/>
      <c r="C73" s="73">
        <v>4500</v>
      </c>
      <c r="D73" s="25"/>
      <c r="E73" s="76">
        <v>0</v>
      </c>
      <c r="F73" s="80"/>
      <c r="G73" s="81">
        <f t="shared" si="1"/>
        <v>0</v>
      </c>
    </row>
    <row r="74" spans="1:7" ht="4.5" customHeight="1">
      <c r="A74" s="35"/>
      <c r="B74" s="36"/>
      <c r="C74" s="82"/>
      <c r="D74" s="36"/>
      <c r="E74" s="36"/>
      <c r="F74" s="80"/>
      <c r="G74" s="81"/>
    </row>
    <row r="75" spans="1:7" s="6" customFormat="1" ht="14.25" customHeight="1">
      <c r="A75" s="176" t="s">
        <v>80</v>
      </c>
      <c r="B75" s="177"/>
      <c r="C75" s="4" t="e">
        <f>TRUNC((C6+C22+C30+C62),2)</f>
        <v>#REF!</v>
      </c>
      <c r="D75" s="4"/>
      <c r="E75" s="51">
        <f>E6+E22+E30+E62</f>
        <v>7405425.1565333335</v>
      </c>
      <c r="F75" s="3">
        <f>F6+F22+F30+F62</f>
        <v>6925620.92</v>
      </c>
      <c r="G75" s="5">
        <f>G6+G22+G30+G62</f>
        <v>479804.23653333366</v>
      </c>
    </row>
    <row r="76" spans="1:7" ht="4.5" customHeight="1">
      <c r="A76" s="35"/>
      <c r="B76" s="36"/>
      <c r="C76" s="82"/>
      <c r="D76" s="36"/>
      <c r="E76" s="36"/>
      <c r="F76" s="80"/>
      <c r="G76" s="81"/>
    </row>
    <row r="77" spans="1:7" ht="14.25" customHeight="1">
      <c r="A77" s="141" t="s">
        <v>81</v>
      </c>
      <c r="B77" s="37" t="e">
        <f>B78+B85</f>
        <v>#REF!</v>
      </c>
      <c r="C77" s="4" t="e">
        <f>C78+C79+C80</f>
        <v>#REF!</v>
      </c>
      <c r="D77" s="37">
        <f>D78+D85</f>
        <v>10</v>
      </c>
      <c r="E77" s="69">
        <f>SUM(E78:E80)</f>
        <v>740542.5099999998</v>
      </c>
      <c r="F77" s="21">
        <f>SUM(F78:F80)</f>
        <v>692562.09</v>
      </c>
      <c r="G77" s="22">
        <f>SUM(G78:G80)</f>
        <v>47980.41999999981</v>
      </c>
    </row>
    <row r="78" spans="1:7" ht="14.25" customHeight="1">
      <c r="A78" s="27" t="s">
        <v>82</v>
      </c>
      <c r="B78" s="28" t="e">
        <f>#REF!</f>
        <v>#REF!</v>
      </c>
      <c r="C78" s="83" t="e">
        <f>+ROUND((C$75*(B78/100)),2)</f>
        <v>#REF!</v>
      </c>
      <c r="D78" s="38">
        <v>10</v>
      </c>
      <c r="E78" s="84">
        <f>TRUNC(((E75)*(D78/100)),2)</f>
        <v>740542.51</v>
      </c>
      <c r="F78" s="56">
        <v>692562.09</v>
      </c>
      <c r="G78" s="57">
        <f t="shared" si="1"/>
        <v>47980.42000000004</v>
      </c>
    </row>
    <row r="79" spans="1:7" ht="14.25" customHeight="1" hidden="1">
      <c r="A79" s="27" t="s">
        <v>83</v>
      </c>
      <c r="B79" s="85" t="e">
        <f>#REF!</f>
        <v>#REF!</v>
      </c>
      <c r="C79" s="83" t="e">
        <f>+ROUND(((C75+C78)*(B79/100)),2)</f>
        <v>#REF!</v>
      </c>
      <c r="D79" s="38">
        <v>0</v>
      </c>
      <c r="E79" s="86">
        <v>0</v>
      </c>
      <c r="F79" s="60">
        <v>0</v>
      </c>
      <c r="G79" s="61">
        <f t="shared" si="1"/>
        <v>0</v>
      </c>
    </row>
    <row r="80" spans="1:7" s="41" customFormat="1" ht="14.25" customHeight="1" hidden="1">
      <c r="A80" s="39" t="s">
        <v>84</v>
      </c>
      <c r="B80" s="40" t="e">
        <f>SUM(B81:B85)</f>
        <v>#REF!</v>
      </c>
      <c r="C80" s="87" t="e">
        <f>ROUND(((C$75+C$78+C$79)/(1-(B80/100)))-(C$75+C$78+C$79),2)</f>
        <v>#REF!</v>
      </c>
      <c r="D80" s="40">
        <f>SUM(D81:D85)</f>
        <v>0</v>
      </c>
      <c r="E80" s="88">
        <f>E86-E75-E78-E79</f>
        <v>-2.3283064365386963E-10</v>
      </c>
      <c r="F80" s="89">
        <v>0</v>
      </c>
      <c r="G80" s="61">
        <f t="shared" si="1"/>
        <v>-2.3283064365386963E-10</v>
      </c>
    </row>
    <row r="81" spans="1:7" ht="14.25" customHeight="1" hidden="1">
      <c r="A81" s="42" t="s">
        <v>85</v>
      </c>
      <c r="B81" s="90" t="e">
        <f>#REF!</f>
        <v>#REF!</v>
      </c>
      <c r="C81" s="91" t="e">
        <f>ROUND(((C$86)*(B81/100)),2)</f>
        <v>#REF!</v>
      </c>
      <c r="D81" s="38">
        <v>0</v>
      </c>
      <c r="E81" s="92"/>
      <c r="F81" s="60"/>
      <c r="G81" s="61">
        <f t="shared" si="1"/>
        <v>0</v>
      </c>
    </row>
    <row r="82" spans="1:7" ht="14.25" customHeight="1" hidden="1">
      <c r="A82" s="42" t="s">
        <v>86</v>
      </c>
      <c r="B82" s="90" t="e">
        <f>#REF!</f>
        <v>#REF!</v>
      </c>
      <c r="C82" s="91" t="e">
        <f>ROUND(((C$86)*(B82/100)),2)</f>
        <v>#REF!</v>
      </c>
      <c r="D82" s="38">
        <v>0</v>
      </c>
      <c r="E82" s="92"/>
      <c r="F82" s="60"/>
      <c r="G82" s="61">
        <f t="shared" si="1"/>
        <v>0</v>
      </c>
    </row>
    <row r="83" spans="1:7" ht="14.25" customHeight="1" hidden="1">
      <c r="A83" s="42" t="s">
        <v>87</v>
      </c>
      <c r="B83" s="90" t="e">
        <f>#REF!</f>
        <v>#REF!</v>
      </c>
      <c r="C83" s="91" t="e">
        <f>ROUND(((C$86)*(B83/100)),2)</f>
        <v>#REF!</v>
      </c>
      <c r="D83" s="38">
        <v>0</v>
      </c>
      <c r="E83" s="92"/>
      <c r="F83" s="60"/>
      <c r="G83" s="61">
        <f t="shared" si="1"/>
        <v>0</v>
      </c>
    </row>
    <row r="84" spans="1:7" ht="14.25" customHeight="1" hidden="1">
      <c r="A84" s="42" t="s">
        <v>88</v>
      </c>
      <c r="B84" s="90" t="e">
        <f>#REF!</f>
        <v>#REF!</v>
      </c>
      <c r="C84" s="91" t="e">
        <f>ROUND(((C$86)*(B84/100)),2)</f>
        <v>#REF!</v>
      </c>
      <c r="D84" s="38">
        <v>0</v>
      </c>
      <c r="E84" s="92"/>
      <c r="F84" s="60"/>
      <c r="G84" s="61">
        <f t="shared" si="1"/>
        <v>0</v>
      </c>
    </row>
    <row r="85" spans="1:7" ht="14.25" customHeight="1" hidden="1">
      <c r="A85" s="43" t="s">
        <v>89</v>
      </c>
      <c r="B85" s="93" t="e">
        <f>#REF!</f>
        <v>#REF!</v>
      </c>
      <c r="C85" s="91" t="e">
        <f>ROUND(((C$86)*(B85/100)),2)</f>
        <v>#REF!</v>
      </c>
      <c r="D85" s="44">
        <v>0</v>
      </c>
      <c r="E85" s="94"/>
      <c r="F85" s="67"/>
      <c r="G85" s="68">
        <f t="shared" si="1"/>
        <v>0</v>
      </c>
    </row>
    <row r="86" spans="1:7" ht="14.25" customHeight="1">
      <c r="A86" s="176" t="s">
        <v>90</v>
      </c>
      <c r="B86" s="177"/>
      <c r="C86" s="45" t="e">
        <f>C75+C77</f>
        <v>#REF!</v>
      </c>
      <c r="D86" s="45"/>
      <c r="E86" s="95">
        <f>(E75+E78+E79)/((100-D80)/100)</f>
        <v>8145967.666533333</v>
      </c>
      <c r="F86" s="96">
        <f>(F75+F78+F79)/((100-E80)/100)</f>
        <v>7618183.009982262</v>
      </c>
      <c r="G86" s="46">
        <f>(G75+G78+G79)/((100-F80)/100)</f>
        <v>527784.6565333337</v>
      </c>
    </row>
    <row r="87" spans="1:5" ht="8.25" customHeight="1">
      <c r="A87" s="47"/>
      <c r="B87" s="47"/>
      <c r="C87" s="97"/>
      <c r="D87" s="47"/>
      <c r="E87" s="47"/>
    </row>
    <row r="88" spans="1:7" ht="15">
      <c r="A88" s="140" t="s">
        <v>105</v>
      </c>
      <c r="E88" s="48">
        <f>8000000-E86</f>
        <v>-145967.66653333325</v>
      </c>
      <c r="F88" s="1"/>
      <c r="G88" s="1"/>
    </row>
    <row r="89" spans="1:7" ht="15">
      <c r="A89" s="1" t="s">
        <v>106</v>
      </c>
      <c r="E89" s="155">
        <f>E88/110*100</f>
        <v>-132697.8786666666</v>
      </c>
      <c r="F89" s="1"/>
      <c r="G89" s="1"/>
    </row>
    <row r="90" spans="1:7" ht="15">
      <c r="A90" s="1" t="s">
        <v>142</v>
      </c>
      <c r="F90" s="1"/>
      <c r="G90" s="1"/>
    </row>
  </sheetData>
  <sheetProtection/>
  <mergeCells count="10">
    <mergeCell ref="A75:B75"/>
    <mergeCell ref="A86:B86"/>
    <mergeCell ref="A1:E1"/>
    <mergeCell ref="A2:E2"/>
    <mergeCell ref="F2:G5"/>
    <mergeCell ref="C3:C5"/>
    <mergeCell ref="D3:D5"/>
    <mergeCell ref="E4:E5"/>
    <mergeCell ref="A3:A5"/>
    <mergeCell ref="B3:B5"/>
  </mergeCells>
  <conditionalFormatting sqref="A12 A16:A18">
    <cfRule type="cellIs" priority="7" dxfId="10" operator="equal" stopIfTrue="1">
      <formula>0</formula>
    </cfRule>
  </conditionalFormatting>
  <conditionalFormatting sqref="A12 A16:A18">
    <cfRule type="cellIs" priority="6" dxfId="10" operator="equal" stopIfTrue="1">
      <formula>0</formula>
    </cfRule>
  </conditionalFormatting>
  <conditionalFormatting sqref="A12 A16:A18">
    <cfRule type="cellIs" priority="5" dxfId="10" operator="equal" stopIfTrue="1">
      <formula>0</formula>
    </cfRule>
  </conditionalFormatting>
  <conditionalFormatting sqref="A19">
    <cfRule type="cellIs" priority="4" dxfId="10" operator="equal" stopIfTrue="1">
      <formula>0</formula>
    </cfRule>
  </conditionalFormatting>
  <conditionalFormatting sqref="A19">
    <cfRule type="cellIs" priority="3" dxfId="10" operator="equal" stopIfTrue="1">
      <formula>0</formula>
    </cfRule>
  </conditionalFormatting>
  <conditionalFormatting sqref="A19">
    <cfRule type="cellIs" priority="2" dxfId="10" operator="equal" stopIfTrue="1">
      <formula>0</formula>
    </cfRule>
  </conditionalFormatting>
  <conditionalFormatting sqref="A19">
    <cfRule type="cellIs" priority="1" dxfId="10" operator="equal" stopIfTrue="1">
      <formula>0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95"/>
  <sheetViews>
    <sheetView showGridLines="0" zoomScalePageLayoutView="0" workbookViewId="0" topLeftCell="A1">
      <selection activeCell="J75" sqref="J75"/>
    </sheetView>
  </sheetViews>
  <sheetFormatPr defaultColWidth="9.28125" defaultRowHeight="15"/>
  <cols>
    <col min="1" max="1" width="52.28125" style="1" customWidth="1"/>
    <col min="2" max="2" width="5.7109375" style="48" hidden="1" customWidth="1"/>
    <col min="3" max="3" width="12.28125" style="1" hidden="1" customWidth="1"/>
    <col min="4" max="4" width="5.7109375" style="48" customWidth="1"/>
    <col min="5" max="5" width="12.421875" style="48" customWidth="1"/>
    <col min="6" max="6" width="12.421875" style="49" customWidth="1"/>
    <col min="7" max="7" width="12.421875" style="114" customWidth="1"/>
    <col min="8" max="16384" width="9.28125" style="1" customWidth="1"/>
  </cols>
  <sheetData>
    <row r="1" spans="1:7" ht="15.75">
      <c r="A1" s="178" t="s">
        <v>0</v>
      </c>
      <c r="B1" s="179"/>
      <c r="C1" s="179"/>
      <c r="D1" s="179"/>
      <c r="E1" s="179"/>
      <c r="F1" s="179"/>
      <c r="G1" s="179"/>
    </row>
    <row r="2" spans="1:7" ht="15.75" customHeight="1">
      <c r="A2" s="180" t="s">
        <v>94</v>
      </c>
      <c r="B2" s="181"/>
      <c r="C2" s="181"/>
      <c r="D2" s="181"/>
      <c r="E2" s="181"/>
      <c r="F2" s="181"/>
      <c r="G2" s="182"/>
    </row>
    <row r="3" spans="1:7" ht="14.25" customHeight="1">
      <c r="A3" s="196" t="s">
        <v>2</v>
      </c>
      <c r="B3" s="198"/>
      <c r="C3" s="192" t="s">
        <v>92</v>
      </c>
      <c r="D3" s="192" t="s">
        <v>3</v>
      </c>
      <c r="E3" s="202" t="s">
        <v>5</v>
      </c>
      <c r="F3" s="203"/>
      <c r="G3" s="204"/>
    </row>
    <row r="4" spans="1:7" ht="14.25" customHeight="1">
      <c r="A4" s="196"/>
      <c r="B4" s="198"/>
      <c r="C4" s="192"/>
      <c r="D4" s="192"/>
      <c r="E4" s="205" t="s">
        <v>4</v>
      </c>
      <c r="F4" s="200" t="s">
        <v>95</v>
      </c>
      <c r="G4" s="191" t="s">
        <v>96</v>
      </c>
    </row>
    <row r="5" spans="1:7" ht="14.25" customHeight="1">
      <c r="A5" s="197"/>
      <c r="B5" s="199"/>
      <c r="C5" s="193"/>
      <c r="D5" s="193"/>
      <c r="E5" s="190"/>
      <c r="F5" s="201"/>
      <c r="G5" s="193"/>
    </row>
    <row r="6" spans="1:7" s="6" customFormat="1" ht="14.25" customHeight="1">
      <c r="A6" s="99" t="s">
        <v>6</v>
      </c>
      <c r="B6" s="3"/>
      <c r="C6" s="4" t="e">
        <f>SUM(C7:C20)</f>
        <v>#REF!</v>
      </c>
      <c r="D6" s="3"/>
      <c r="E6" s="51">
        <f>SUM(E7:E20)</f>
        <v>3331597.5971999997</v>
      </c>
      <c r="F6" s="51" t="e">
        <f>SUM(F7:F20)</f>
        <v>#REF!</v>
      </c>
      <c r="G6" s="107" t="e">
        <f>SUM(G7:G20)</f>
        <v>#REF!</v>
      </c>
    </row>
    <row r="7" spans="1:7" ht="14.25" customHeight="1">
      <c r="A7" s="7" t="s">
        <v>7</v>
      </c>
      <c r="B7" s="53"/>
      <c r="C7" s="54" t="e">
        <f>#REF!</f>
        <v>#REF!</v>
      </c>
      <c r="D7" s="8">
        <f>'[1]QUADRO PESSOAL'!G75</f>
        <v>381</v>
      </c>
      <c r="E7" s="55">
        <f>'[1]QUADRO PESSOAL'!$I$75</f>
        <v>844000</v>
      </c>
      <c r="F7" s="103" t="e">
        <v>#REF!</v>
      </c>
      <c r="G7" s="109" t="e">
        <f>E7+F7</f>
        <v>#REF!</v>
      </c>
    </row>
    <row r="8" spans="1:7" ht="14.25" customHeight="1">
      <c r="A8" s="9" t="s">
        <v>8</v>
      </c>
      <c r="B8" s="10"/>
      <c r="C8" s="58" t="e">
        <f>#REF!</f>
        <v>#REF!</v>
      </c>
      <c r="D8" s="10"/>
      <c r="E8" s="59">
        <f>'[1]QUADRO PESSOAL'!$K$75</f>
        <v>79629</v>
      </c>
      <c r="F8" s="104" t="e">
        <v>#REF!</v>
      </c>
      <c r="G8" s="110" t="e">
        <f>E8+F8</f>
        <v>#REF!</v>
      </c>
    </row>
    <row r="9" spans="1:7" ht="14.25" customHeight="1">
      <c r="A9" s="9" t="s">
        <v>9</v>
      </c>
      <c r="B9" s="12"/>
      <c r="C9" s="62" t="e">
        <f>#REF!</f>
        <v>#REF!</v>
      </c>
      <c r="D9" s="12"/>
      <c r="E9" s="63">
        <f>'[1]QUADRO PESSOAL'!$AM$75</f>
        <v>46332.056</v>
      </c>
      <c r="F9" s="104" t="e">
        <v>#REF!</v>
      </c>
      <c r="G9" s="110" t="e">
        <f aca="true" t="shared" si="0" ref="G9:G20">E9+F9</f>
        <v>#REF!</v>
      </c>
    </row>
    <row r="10" spans="1:7" ht="14.25" customHeight="1">
      <c r="A10" s="9" t="s">
        <v>10</v>
      </c>
      <c r="B10" s="12"/>
      <c r="C10" s="62" t="e">
        <f>#REF!</f>
        <v>#REF!</v>
      </c>
      <c r="D10" s="12"/>
      <c r="E10" s="63">
        <f>'[1]QUADRO PESSOAL'!$AN$75</f>
        <v>9266.4112</v>
      </c>
      <c r="F10" s="104" t="e">
        <v>#REF!</v>
      </c>
      <c r="G10" s="110" t="e">
        <f t="shared" si="0"/>
        <v>#REF!</v>
      </c>
    </row>
    <row r="11" spans="1:7" ht="14.25" customHeight="1">
      <c r="A11" s="9" t="s">
        <v>11</v>
      </c>
      <c r="B11" s="14"/>
      <c r="C11" s="62">
        <v>0</v>
      </c>
      <c r="D11" s="14"/>
      <c r="E11" s="66"/>
      <c r="F11" s="104" t="e">
        <v>#REF!</v>
      </c>
      <c r="G11" s="110" t="e">
        <f t="shared" si="0"/>
        <v>#REF!</v>
      </c>
    </row>
    <row r="12" spans="1:7" ht="14.25" customHeight="1">
      <c r="A12" s="9" t="s">
        <v>12</v>
      </c>
      <c r="B12" s="15"/>
      <c r="C12" s="62"/>
      <c r="D12" s="15"/>
      <c r="E12" s="66"/>
      <c r="F12" s="104" t="e">
        <v>#REF!</v>
      </c>
      <c r="G12" s="110" t="e">
        <f t="shared" si="0"/>
        <v>#REF!</v>
      </c>
    </row>
    <row r="13" spans="1:7" ht="14.25" customHeight="1">
      <c r="A13" s="9" t="s">
        <v>13</v>
      </c>
      <c r="B13" s="16" t="e">
        <f>#REF!</f>
        <v>#REF!</v>
      </c>
      <c r="C13" s="64" t="e">
        <f>#REF!</f>
        <v>#REF!</v>
      </c>
      <c r="D13" s="16">
        <f>'[1]ENCARGOS TRABALHISTAS'!$G$44</f>
        <v>64.9</v>
      </c>
      <c r="E13" s="65">
        <f>'[1]ENCARGOS TRABALHISTAS'!$I$44</f>
        <v>635518.5299999999</v>
      </c>
      <c r="F13" s="104" t="e">
        <v>#REF!</v>
      </c>
      <c r="G13" s="110" t="e">
        <f t="shared" si="0"/>
        <v>#REF!</v>
      </c>
    </row>
    <row r="14" spans="1:7" ht="14.25" customHeight="1">
      <c r="A14" s="9" t="s">
        <v>14</v>
      </c>
      <c r="B14" s="16">
        <v>0</v>
      </c>
      <c r="C14" s="64">
        <v>0</v>
      </c>
      <c r="D14" s="16">
        <f>'[1]ENCARGOS TRABALHISTAS'!$G$46</f>
        <v>1</v>
      </c>
      <c r="E14" s="65">
        <f>'[1]ENCARGOS TRABALHISTAS'!$I$46</f>
        <v>11744.85</v>
      </c>
      <c r="F14" s="104" t="e">
        <v>#REF!</v>
      </c>
      <c r="G14" s="110" t="e">
        <f t="shared" si="0"/>
        <v>#REF!</v>
      </c>
    </row>
    <row r="15" spans="1:7" ht="14.25" customHeight="1">
      <c r="A15" s="9" t="s">
        <v>15</v>
      </c>
      <c r="B15" s="15"/>
      <c r="C15" s="62" t="e">
        <f>#REF!-#REF!</f>
        <v>#REF!</v>
      </c>
      <c r="D15" s="15"/>
      <c r="E15" s="63">
        <f>'[1]QUADRO PESSOAL'!$X$75-'[1]QUADRO PESSOAL'!$Y$75</f>
        <v>19072.40000000001</v>
      </c>
      <c r="F15" s="104" t="e">
        <v>#REF!</v>
      </c>
      <c r="G15" s="110" t="e">
        <f t="shared" si="0"/>
        <v>#REF!</v>
      </c>
    </row>
    <row r="16" spans="1:7" ht="14.25" customHeight="1" hidden="1">
      <c r="A16" s="9" t="s">
        <v>16</v>
      </c>
      <c r="B16" s="15"/>
      <c r="C16" s="62">
        <v>0</v>
      </c>
      <c r="D16" s="15"/>
      <c r="E16" s="66"/>
      <c r="F16" s="104" t="e">
        <v>#REF!</v>
      </c>
      <c r="G16" s="110" t="e">
        <f t="shared" si="0"/>
        <v>#REF!</v>
      </c>
    </row>
    <row r="17" spans="1:7" ht="14.25" customHeight="1" hidden="1">
      <c r="A17" s="9" t="s">
        <v>17</v>
      </c>
      <c r="B17" s="15"/>
      <c r="C17" s="62"/>
      <c r="D17" s="15"/>
      <c r="E17" s="66"/>
      <c r="F17" s="104" t="e">
        <v>#REF!</v>
      </c>
      <c r="G17" s="110" t="e">
        <f t="shared" si="0"/>
        <v>#REF!</v>
      </c>
    </row>
    <row r="18" spans="1:7" ht="14.25" customHeight="1">
      <c r="A18" s="9" t="s">
        <v>18</v>
      </c>
      <c r="B18" s="15"/>
      <c r="C18" s="62"/>
      <c r="D18" s="15"/>
      <c r="E18" s="66">
        <f>((('[1]QUADRO PESSOAL'!G75+'[1]QUADRO PESSOAL'!G186)*'[1]PREMISSAS-PARÂMETROS'!C17)/'[1]PREMISSAS-PARÂMETROS'!C3)</f>
        <v>9320</v>
      </c>
      <c r="F18" s="104" t="e">
        <v>#REF!</v>
      </c>
      <c r="G18" s="110" t="e">
        <f t="shared" si="0"/>
        <v>#REF!</v>
      </c>
    </row>
    <row r="19" spans="1:7" ht="14.25" customHeight="1">
      <c r="A19" s="18" t="s">
        <v>19</v>
      </c>
      <c r="B19" s="19"/>
      <c r="C19" s="62" t="e">
        <f>#REF!*35</f>
        <v>#REF!</v>
      </c>
      <c r="D19" s="19"/>
      <c r="E19" s="63">
        <f>'[1]QUADRO PESSOAL'!$G$75*'[1]PREMISSAS-PARÂMETROS'!$C$24</f>
        <v>1600.2</v>
      </c>
      <c r="F19" s="104" t="e">
        <v>#REF!</v>
      </c>
      <c r="G19" s="110" t="e">
        <f t="shared" si="0"/>
        <v>#REF!</v>
      </c>
    </row>
    <row r="20" spans="1:7" ht="14.25" customHeight="1">
      <c r="A20" s="20" t="s">
        <v>20</v>
      </c>
      <c r="B20" s="19"/>
      <c r="C20" s="62" t="e">
        <f>#REF!*35</f>
        <v>#REF!</v>
      </c>
      <c r="D20" s="15">
        <f>'[1]QUADRO PESSOAL'!G186</f>
        <v>85</v>
      </c>
      <c r="E20" s="66">
        <f>'[1]QUADRO PESSOAL'!$K$186</f>
        <v>1675114.15</v>
      </c>
      <c r="F20" s="105" t="e">
        <v>#REF!</v>
      </c>
      <c r="G20" s="110" t="e">
        <f t="shared" si="0"/>
        <v>#REF!</v>
      </c>
    </row>
    <row r="21" spans="1:7" s="6" customFormat="1" ht="14.25" customHeight="1">
      <c r="A21" s="99" t="s">
        <v>21</v>
      </c>
      <c r="B21" s="21"/>
      <c r="C21" s="4">
        <f>SUM(C22:C28)</f>
        <v>159000</v>
      </c>
      <c r="D21" s="21"/>
      <c r="E21" s="69">
        <f>SUM(E22:E28)</f>
        <v>1058125</v>
      </c>
      <c r="F21" s="69" t="e">
        <f>SUM(F22:F28)</f>
        <v>#REF!</v>
      </c>
      <c r="G21" s="21" t="e">
        <f>SUM(G22:G28)</f>
        <v>#REF!</v>
      </c>
    </row>
    <row r="22" spans="1:7" ht="14.25" customHeight="1">
      <c r="A22" s="9" t="s">
        <v>22</v>
      </c>
      <c r="B22" s="23"/>
      <c r="C22" s="70">
        <v>90000</v>
      </c>
      <c r="D22" s="23"/>
      <c r="E22" s="71">
        <v>356250</v>
      </c>
      <c r="F22" s="104" t="e">
        <v>#REF!</v>
      </c>
      <c r="G22" s="110" t="e">
        <f aca="true" t="shared" si="1" ref="G22:G28">E22+F22</f>
        <v>#REF!</v>
      </c>
    </row>
    <row r="23" spans="1:7" ht="14.25" customHeight="1">
      <c r="A23" s="18" t="s">
        <v>23</v>
      </c>
      <c r="B23" s="24"/>
      <c r="C23" s="62">
        <v>0</v>
      </c>
      <c r="D23" s="24"/>
      <c r="E23" s="66">
        <v>391875</v>
      </c>
      <c r="F23" s="104" t="e">
        <v>#REF!</v>
      </c>
      <c r="G23" s="110" t="e">
        <f t="shared" si="1"/>
        <v>#REF!</v>
      </c>
    </row>
    <row r="24" spans="1:7" ht="14.25" customHeight="1">
      <c r="A24" s="18" t="s">
        <v>24</v>
      </c>
      <c r="B24" s="24"/>
      <c r="C24" s="62"/>
      <c r="D24" s="24"/>
      <c r="E24" s="66">
        <v>35000</v>
      </c>
      <c r="F24" s="104" t="e">
        <v>#REF!</v>
      </c>
      <c r="G24" s="110" t="e">
        <f t="shared" si="1"/>
        <v>#REF!</v>
      </c>
    </row>
    <row r="25" spans="1:7" ht="14.25" customHeight="1">
      <c r="A25" s="18" t="s">
        <v>25</v>
      </c>
      <c r="B25" s="24"/>
      <c r="C25" s="58">
        <v>32000</v>
      </c>
      <c r="D25" s="24"/>
      <c r="E25" s="72">
        <v>123500</v>
      </c>
      <c r="F25" s="104" t="e">
        <v>#REF!</v>
      </c>
      <c r="G25" s="110" t="e">
        <f t="shared" si="1"/>
        <v>#REF!</v>
      </c>
    </row>
    <row r="26" spans="1:7" ht="14.25" customHeight="1">
      <c r="A26" s="18" t="s">
        <v>26</v>
      </c>
      <c r="B26" s="24"/>
      <c r="C26" s="58">
        <v>32000</v>
      </c>
      <c r="D26" s="24"/>
      <c r="E26" s="72">
        <v>1500</v>
      </c>
      <c r="F26" s="104">
        <v>0</v>
      </c>
      <c r="G26" s="110">
        <f t="shared" si="1"/>
        <v>1500</v>
      </c>
    </row>
    <row r="27" spans="1:7" ht="14.25" customHeight="1">
      <c r="A27" s="18" t="s">
        <v>27</v>
      </c>
      <c r="B27" s="25"/>
      <c r="C27" s="73">
        <v>2500</v>
      </c>
      <c r="D27" s="24"/>
      <c r="E27" s="72">
        <v>50000</v>
      </c>
      <c r="F27" s="104">
        <v>0</v>
      </c>
      <c r="G27" s="110">
        <f t="shared" si="1"/>
        <v>50000</v>
      </c>
    </row>
    <row r="28" spans="1:7" ht="14.25" customHeight="1">
      <c r="A28" s="20" t="s">
        <v>28</v>
      </c>
      <c r="B28" s="25"/>
      <c r="C28" s="73">
        <v>2500</v>
      </c>
      <c r="D28" s="25"/>
      <c r="E28" s="74">
        <v>100000</v>
      </c>
      <c r="F28" s="105">
        <v>0</v>
      </c>
      <c r="G28" s="110">
        <f t="shared" si="1"/>
        <v>100000</v>
      </c>
    </row>
    <row r="29" spans="1:7" s="6" customFormat="1" ht="14.25" customHeight="1">
      <c r="A29" s="99" t="s">
        <v>29</v>
      </c>
      <c r="B29" s="21"/>
      <c r="C29" s="4">
        <f>SUM(C30:C69)</f>
        <v>491000</v>
      </c>
      <c r="D29" s="21"/>
      <c r="E29" s="69">
        <f>SUM(E30:E69)</f>
        <v>2339682.0666666664</v>
      </c>
      <c r="F29" s="69" t="e">
        <f>SUM(F30:F69)</f>
        <v>#REF!</v>
      </c>
      <c r="G29" s="21" t="e">
        <f>SUM(G30:G69)</f>
        <v>#REF!</v>
      </c>
    </row>
    <row r="30" spans="1:7" ht="14.25" customHeight="1">
      <c r="A30" s="18" t="s">
        <v>30</v>
      </c>
      <c r="B30" s="23"/>
      <c r="C30" s="70">
        <v>12000</v>
      </c>
      <c r="D30" s="26"/>
      <c r="E30" s="75">
        <v>60000</v>
      </c>
      <c r="F30" s="106">
        <v>0</v>
      </c>
      <c r="G30" s="110">
        <f aca="true" t="shared" si="2" ref="G30:G69">E30+F30</f>
        <v>60000</v>
      </c>
    </row>
    <row r="31" spans="1:7" ht="14.25" customHeight="1">
      <c r="A31" s="27" t="s">
        <v>31</v>
      </c>
      <c r="B31" s="24"/>
      <c r="C31" s="62">
        <v>25000</v>
      </c>
      <c r="D31" s="28"/>
      <c r="E31" s="76">
        <v>60000</v>
      </c>
      <c r="F31" s="104">
        <v>0</v>
      </c>
      <c r="G31" s="110">
        <f t="shared" si="2"/>
        <v>60000</v>
      </c>
    </row>
    <row r="32" spans="1:7" ht="14.25" customHeight="1">
      <c r="A32" s="29" t="s">
        <v>32</v>
      </c>
      <c r="B32" s="24"/>
      <c r="C32" s="62">
        <v>3500</v>
      </c>
      <c r="D32" s="24"/>
      <c r="E32" s="76">
        <v>10000</v>
      </c>
      <c r="F32" s="104" t="e">
        <v>#REF!</v>
      </c>
      <c r="G32" s="110" t="e">
        <f t="shared" si="2"/>
        <v>#REF!</v>
      </c>
    </row>
    <row r="33" spans="1:7" ht="14.25" customHeight="1">
      <c r="A33" s="18" t="s">
        <v>33</v>
      </c>
      <c r="B33" s="24"/>
      <c r="C33" s="62">
        <f>('[1]PREMISSAS-PARÂMETROS'!E42)</f>
        <v>0</v>
      </c>
      <c r="D33" s="24"/>
      <c r="E33" s="76">
        <v>331312</v>
      </c>
      <c r="F33" s="104" t="e">
        <v>#REF!</v>
      </c>
      <c r="G33" s="110" t="e">
        <f t="shared" si="2"/>
        <v>#REF!</v>
      </c>
    </row>
    <row r="34" spans="1:7" ht="14.25" customHeight="1" hidden="1">
      <c r="A34" s="27" t="s">
        <v>34</v>
      </c>
      <c r="B34" s="24"/>
      <c r="C34" s="62">
        <v>5000</v>
      </c>
      <c r="D34" s="24"/>
      <c r="E34" s="76">
        <v>0</v>
      </c>
      <c r="F34" s="104" t="e">
        <v>#REF!</v>
      </c>
      <c r="G34" s="110" t="e">
        <f t="shared" si="2"/>
        <v>#REF!</v>
      </c>
    </row>
    <row r="35" spans="1:7" ht="14.25" customHeight="1" hidden="1">
      <c r="A35" s="27" t="s">
        <v>35</v>
      </c>
      <c r="B35" s="24"/>
      <c r="C35" s="62">
        <v>0</v>
      </c>
      <c r="D35" s="24"/>
      <c r="E35" s="76">
        <v>0</v>
      </c>
      <c r="F35" s="104" t="e">
        <v>#REF!</v>
      </c>
      <c r="G35" s="110" t="e">
        <f t="shared" si="2"/>
        <v>#REF!</v>
      </c>
    </row>
    <row r="36" spans="1:7" ht="14.25" customHeight="1" hidden="1">
      <c r="A36" s="27" t="s">
        <v>36</v>
      </c>
      <c r="B36" s="24"/>
      <c r="C36" s="62">
        <v>0</v>
      </c>
      <c r="D36" s="24"/>
      <c r="E36" s="76">
        <v>0</v>
      </c>
      <c r="F36" s="104" t="e">
        <v>#REF!</v>
      </c>
      <c r="G36" s="110" t="e">
        <f t="shared" si="2"/>
        <v>#REF!</v>
      </c>
    </row>
    <row r="37" spans="1:7" ht="14.25" customHeight="1">
      <c r="A37" s="27" t="s">
        <v>37</v>
      </c>
      <c r="B37" s="24"/>
      <c r="C37" s="62">
        <v>9000</v>
      </c>
      <c r="D37" s="24"/>
      <c r="E37" s="76">
        <v>23750</v>
      </c>
      <c r="F37" s="104">
        <v>0</v>
      </c>
      <c r="G37" s="110">
        <f t="shared" si="2"/>
        <v>23750</v>
      </c>
    </row>
    <row r="38" spans="1:7" ht="14.25" customHeight="1">
      <c r="A38" s="29" t="s">
        <v>38</v>
      </c>
      <c r="B38" s="24"/>
      <c r="C38" s="62">
        <v>70000</v>
      </c>
      <c r="D38" s="24"/>
      <c r="E38" s="76">
        <v>200000</v>
      </c>
      <c r="F38" s="104" t="e">
        <v>#REF!</v>
      </c>
      <c r="G38" s="110" t="e">
        <f t="shared" si="2"/>
        <v>#REF!</v>
      </c>
    </row>
    <row r="39" spans="1:7" ht="14.25" customHeight="1">
      <c r="A39" s="29" t="s">
        <v>39</v>
      </c>
      <c r="B39" s="24"/>
      <c r="C39" s="62">
        <v>12000</v>
      </c>
      <c r="D39" s="24"/>
      <c r="E39" s="76">
        <v>38475</v>
      </c>
      <c r="F39" s="104" t="e">
        <v>#REF!</v>
      </c>
      <c r="G39" s="110" t="e">
        <f t="shared" si="2"/>
        <v>#REF!</v>
      </c>
    </row>
    <row r="40" spans="1:7" ht="14.25" customHeight="1">
      <c r="A40" s="27" t="s">
        <v>40</v>
      </c>
      <c r="B40" s="24"/>
      <c r="C40" s="62">
        <v>5000</v>
      </c>
      <c r="D40" s="24"/>
      <c r="E40" s="76">
        <v>300000</v>
      </c>
      <c r="F40" s="104" t="e">
        <v>#REF!</v>
      </c>
      <c r="G40" s="110" t="e">
        <f t="shared" si="2"/>
        <v>#REF!</v>
      </c>
    </row>
    <row r="41" spans="1:47" ht="14.25" customHeight="1">
      <c r="A41" s="29" t="s">
        <v>41</v>
      </c>
      <c r="B41" s="24"/>
      <c r="C41" s="62">
        <v>65000</v>
      </c>
      <c r="D41" s="24"/>
      <c r="E41" s="76">
        <v>308750</v>
      </c>
      <c r="F41" s="104" t="e">
        <v>#REF!</v>
      </c>
      <c r="G41" s="110" t="e">
        <f t="shared" si="2"/>
        <v>#REF!</v>
      </c>
      <c r="AU41" s="30"/>
    </row>
    <row r="42" spans="1:47" ht="14.25" customHeight="1" hidden="1">
      <c r="A42" s="29" t="s">
        <v>42</v>
      </c>
      <c r="B42" s="24"/>
      <c r="C42" s="62">
        <v>0</v>
      </c>
      <c r="D42" s="24"/>
      <c r="E42" s="76">
        <v>0</v>
      </c>
      <c r="F42" s="104" t="e">
        <v>#REF!</v>
      </c>
      <c r="G42" s="110" t="e">
        <f t="shared" si="2"/>
        <v>#REF!</v>
      </c>
      <c r="AU42" s="30"/>
    </row>
    <row r="43" spans="1:7" ht="14.25" customHeight="1">
      <c r="A43" s="29" t="s">
        <v>43</v>
      </c>
      <c r="B43" s="24"/>
      <c r="C43" s="62">
        <v>80000</v>
      </c>
      <c r="D43" s="24"/>
      <c r="E43" s="76">
        <v>342000</v>
      </c>
      <c r="F43" s="104" t="e">
        <v>#REF!</v>
      </c>
      <c r="G43" s="110" t="e">
        <f t="shared" si="2"/>
        <v>#REF!</v>
      </c>
    </row>
    <row r="44" spans="1:7" ht="14.25" customHeight="1">
      <c r="A44" s="29" t="s">
        <v>44</v>
      </c>
      <c r="B44" s="24"/>
      <c r="C44" s="62">
        <v>20000</v>
      </c>
      <c r="D44" s="24"/>
      <c r="E44" s="76">
        <v>16150</v>
      </c>
      <c r="F44" s="104" t="e">
        <v>#REF!</v>
      </c>
      <c r="G44" s="110" t="e">
        <f t="shared" si="2"/>
        <v>#REF!</v>
      </c>
    </row>
    <row r="45" spans="1:7" ht="14.25" customHeight="1">
      <c r="A45" s="29" t="s">
        <v>45</v>
      </c>
      <c r="B45" s="24"/>
      <c r="C45" s="62">
        <v>38000</v>
      </c>
      <c r="D45" s="24"/>
      <c r="E45" s="76">
        <v>190000</v>
      </c>
      <c r="F45" s="104" t="e">
        <v>#REF!</v>
      </c>
      <c r="G45" s="110" t="e">
        <f t="shared" si="2"/>
        <v>#REF!</v>
      </c>
    </row>
    <row r="46" spans="1:7" ht="14.25" customHeight="1">
      <c r="A46" s="29" t="s">
        <v>46</v>
      </c>
      <c r="B46" s="24"/>
      <c r="C46" s="62">
        <v>22000</v>
      </c>
      <c r="D46" s="24"/>
      <c r="E46" s="76">
        <v>57000</v>
      </c>
      <c r="F46" s="104" t="e">
        <v>#REF!</v>
      </c>
      <c r="G46" s="110" t="e">
        <f t="shared" si="2"/>
        <v>#REF!</v>
      </c>
    </row>
    <row r="47" spans="1:7" ht="14.25" customHeight="1" hidden="1">
      <c r="A47" s="29" t="s">
        <v>47</v>
      </c>
      <c r="B47" s="24"/>
      <c r="C47" s="62">
        <v>0</v>
      </c>
      <c r="D47" s="24"/>
      <c r="E47" s="76">
        <v>0</v>
      </c>
      <c r="F47" s="104" t="e">
        <v>#REF!</v>
      </c>
      <c r="G47" s="110" t="e">
        <f t="shared" si="2"/>
        <v>#REF!</v>
      </c>
    </row>
    <row r="48" spans="1:7" ht="14.25" customHeight="1">
      <c r="A48" s="29" t="s">
        <v>48</v>
      </c>
      <c r="B48" s="24"/>
      <c r="C48" s="62">
        <v>5000</v>
      </c>
      <c r="D48" s="24"/>
      <c r="E48" s="76">
        <v>16150</v>
      </c>
      <c r="F48" s="104" t="e">
        <v>#REF!</v>
      </c>
      <c r="G48" s="110" t="e">
        <f t="shared" si="2"/>
        <v>#REF!</v>
      </c>
    </row>
    <row r="49" spans="1:7" ht="14.25" customHeight="1" hidden="1">
      <c r="A49" s="29" t="s">
        <v>49</v>
      </c>
      <c r="B49" s="24"/>
      <c r="C49" s="62">
        <v>1500</v>
      </c>
      <c r="D49" s="24"/>
      <c r="E49" s="76">
        <v>0</v>
      </c>
      <c r="F49" s="104" t="e">
        <v>#REF!</v>
      </c>
      <c r="G49" s="110" t="e">
        <f t="shared" si="2"/>
        <v>#REF!</v>
      </c>
    </row>
    <row r="50" spans="1:7" ht="14.25" customHeight="1" hidden="1">
      <c r="A50" s="29" t="s">
        <v>50</v>
      </c>
      <c r="B50" s="24"/>
      <c r="C50" s="62">
        <v>1000</v>
      </c>
      <c r="D50" s="24"/>
      <c r="E50" s="76">
        <v>0</v>
      </c>
      <c r="F50" s="104" t="e">
        <v>#REF!</v>
      </c>
      <c r="G50" s="110" t="e">
        <f t="shared" si="2"/>
        <v>#REF!</v>
      </c>
    </row>
    <row r="51" spans="1:7" ht="14.25" customHeight="1" hidden="1">
      <c r="A51" s="29" t="s">
        <v>51</v>
      </c>
      <c r="B51" s="24"/>
      <c r="C51" s="62">
        <v>0</v>
      </c>
      <c r="D51" s="24"/>
      <c r="E51" s="76">
        <v>0</v>
      </c>
      <c r="F51" s="104" t="e">
        <v>#REF!</v>
      </c>
      <c r="G51" s="110" t="e">
        <f t="shared" si="2"/>
        <v>#REF!</v>
      </c>
    </row>
    <row r="52" spans="1:7" ht="14.25" customHeight="1" hidden="1">
      <c r="A52" s="29" t="s">
        <v>52</v>
      </c>
      <c r="B52" s="24"/>
      <c r="C52" s="62">
        <v>0</v>
      </c>
      <c r="D52" s="24"/>
      <c r="E52" s="76">
        <v>0</v>
      </c>
      <c r="F52" s="104" t="e">
        <v>#REF!</v>
      </c>
      <c r="G52" s="110" t="e">
        <f t="shared" si="2"/>
        <v>#REF!</v>
      </c>
    </row>
    <row r="53" spans="1:7" ht="14.25" customHeight="1" hidden="1">
      <c r="A53" s="29" t="s">
        <v>53</v>
      </c>
      <c r="B53" s="24"/>
      <c r="C53" s="62">
        <v>0</v>
      </c>
      <c r="D53" s="24"/>
      <c r="E53" s="76">
        <v>0</v>
      </c>
      <c r="F53" s="104" t="e">
        <v>#REF!</v>
      </c>
      <c r="G53" s="110" t="e">
        <f t="shared" si="2"/>
        <v>#REF!</v>
      </c>
    </row>
    <row r="54" spans="1:7" ht="14.25" customHeight="1" hidden="1">
      <c r="A54" s="29" t="s">
        <v>54</v>
      </c>
      <c r="B54" s="31"/>
      <c r="C54" s="62">
        <v>0</v>
      </c>
      <c r="D54" s="31"/>
      <c r="E54" s="76">
        <v>0</v>
      </c>
      <c r="F54" s="104" t="e">
        <v>#REF!</v>
      </c>
      <c r="G54" s="110" t="e">
        <f t="shared" si="2"/>
        <v>#REF!</v>
      </c>
    </row>
    <row r="55" spans="1:7" ht="14.25" customHeight="1" hidden="1">
      <c r="A55" s="29" t="s">
        <v>55</v>
      </c>
      <c r="B55" s="24"/>
      <c r="C55" s="62">
        <v>0</v>
      </c>
      <c r="D55" s="24"/>
      <c r="E55" s="76">
        <v>0</v>
      </c>
      <c r="F55" s="104" t="e">
        <v>#REF!</v>
      </c>
      <c r="G55" s="110" t="e">
        <f t="shared" si="2"/>
        <v>#REF!</v>
      </c>
    </row>
    <row r="56" spans="1:7" ht="14.25" customHeight="1" hidden="1">
      <c r="A56" s="29" t="s">
        <v>56</v>
      </c>
      <c r="B56" s="24"/>
      <c r="C56" s="62">
        <v>500</v>
      </c>
      <c r="D56" s="24"/>
      <c r="E56" s="76">
        <v>0</v>
      </c>
      <c r="F56" s="104" t="e">
        <v>#REF!</v>
      </c>
      <c r="G56" s="110" t="e">
        <f t="shared" si="2"/>
        <v>#REF!</v>
      </c>
    </row>
    <row r="57" spans="1:7" ht="14.25" customHeight="1" hidden="1">
      <c r="A57" s="29" t="s">
        <v>57</v>
      </c>
      <c r="B57" s="24"/>
      <c r="C57" s="62">
        <v>0</v>
      </c>
      <c r="D57" s="24"/>
      <c r="E57" s="76">
        <v>0</v>
      </c>
      <c r="F57" s="104" t="e">
        <v>#REF!</v>
      </c>
      <c r="G57" s="110" t="e">
        <f t="shared" si="2"/>
        <v>#REF!</v>
      </c>
    </row>
    <row r="58" spans="1:7" ht="14.25" customHeight="1">
      <c r="A58" s="29" t="s">
        <v>58</v>
      </c>
      <c r="B58" s="24"/>
      <c r="C58" s="62">
        <v>0</v>
      </c>
      <c r="D58" s="24"/>
      <c r="E58" s="76">
        <f>39500/6</f>
        <v>6583.333333333333</v>
      </c>
      <c r="F58" s="104" t="e">
        <v>#REF!</v>
      </c>
      <c r="G58" s="110" t="e">
        <f t="shared" si="2"/>
        <v>#REF!</v>
      </c>
    </row>
    <row r="59" spans="1:7" ht="14.25" customHeight="1">
      <c r="A59" s="29" t="s">
        <v>59</v>
      </c>
      <c r="B59" s="24"/>
      <c r="C59" s="62">
        <v>0</v>
      </c>
      <c r="D59" s="24"/>
      <c r="E59" s="76">
        <v>15000</v>
      </c>
      <c r="F59" s="104" t="e">
        <v>#REF!</v>
      </c>
      <c r="G59" s="110" t="e">
        <f t="shared" si="2"/>
        <v>#REF!</v>
      </c>
    </row>
    <row r="60" spans="1:7" ht="14.25" customHeight="1">
      <c r="A60" s="29" t="s">
        <v>60</v>
      </c>
      <c r="B60" s="24"/>
      <c r="C60" s="62">
        <v>0</v>
      </c>
      <c r="D60" s="24"/>
      <c r="E60" s="76">
        <v>30000</v>
      </c>
      <c r="F60" s="104" t="e">
        <v>#REF!</v>
      </c>
      <c r="G60" s="110" t="e">
        <f t="shared" si="2"/>
        <v>#REF!</v>
      </c>
    </row>
    <row r="61" spans="1:7" ht="14.25" customHeight="1">
      <c r="A61" s="29" t="s">
        <v>93</v>
      </c>
      <c r="B61" s="24"/>
      <c r="C61" s="62">
        <v>500</v>
      </c>
      <c r="D61" s="24"/>
      <c r="E61" s="76">
        <v>0</v>
      </c>
      <c r="F61" s="104" t="e">
        <v>#REF!</v>
      </c>
      <c r="G61" s="110" t="e">
        <f t="shared" si="2"/>
        <v>#REF!</v>
      </c>
    </row>
    <row r="62" spans="1:7" ht="14.25" customHeight="1">
      <c r="A62" s="29" t="s">
        <v>61</v>
      </c>
      <c r="B62" s="24"/>
      <c r="C62" s="62">
        <f>2*38000</f>
        <v>76000</v>
      </c>
      <c r="D62" s="24"/>
      <c r="E62" s="76">
        <v>105000</v>
      </c>
      <c r="F62" s="104" t="e">
        <v>#REF!</v>
      </c>
      <c r="G62" s="110" t="e">
        <f t="shared" si="2"/>
        <v>#REF!</v>
      </c>
    </row>
    <row r="63" spans="1:7" ht="14.25" customHeight="1">
      <c r="A63" s="29" t="s">
        <v>62</v>
      </c>
      <c r="B63" s="24"/>
      <c r="C63" s="62">
        <v>20000</v>
      </c>
      <c r="D63" s="24"/>
      <c r="E63" s="76">
        <f>113300/6</f>
        <v>18883.333333333332</v>
      </c>
      <c r="F63" s="104" t="e">
        <v>#REF!</v>
      </c>
      <c r="G63" s="110" t="e">
        <f t="shared" si="2"/>
        <v>#REF!</v>
      </c>
    </row>
    <row r="64" spans="1:7" ht="14.25" customHeight="1">
      <c r="A64" s="29" t="s">
        <v>63</v>
      </c>
      <c r="B64" s="24"/>
      <c r="C64" s="62">
        <v>0</v>
      </c>
      <c r="D64" s="24"/>
      <c r="E64" s="76">
        <v>10000</v>
      </c>
      <c r="F64" s="104" t="e">
        <v>#REF!</v>
      </c>
      <c r="G64" s="110" t="e">
        <f t="shared" si="2"/>
        <v>#REF!</v>
      </c>
    </row>
    <row r="65" spans="1:7" ht="14.25" customHeight="1">
      <c r="A65" s="29" t="s">
        <v>64</v>
      </c>
      <c r="B65" s="24"/>
      <c r="C65" s="62">
        <v>3500</v>
      </c>
      <c r="D65" s="24"/>
      <c r="E65" s="76">
        <f>(('[1]QUADRO PESSOAL'!G75+'[1]QUADRO PESSOAL'!G186)*'[1]PREMISSAS-PARÂMETROS'!C18*2)/'[1]PREMISSAS-PARÂMETROS'!C3</f>
        <v>18640</v>
      </c>
      <c r="F65" s="104" t="e">
        <v>#REF!</v>
      </c>
      <c r="G65" s="110" t="e">
        <f t="shared" si="2"/>
        <v>#REF!</v>
      </c>
    </row>
    <row r="66" spans="1:7" ht="14.25" customHeight="1">
      <c r="A66" s="29" t="s">
        <v>65</v>
      </c>
      <c r="B66" s="24"/>
      <c r="C66" s="62">
        <v>1500</v>
      </c>
      <c r="D66" s="24"/>
      <c r="E66" s="76">
        <v>120000</v>
      </c>
      <c r="F66" s="104" t="e">
        <v>#REF!</v>
      </c>
      <c r="G66" s="110" t="e">
        <f t="shared" si="2"/>
        <v>#REF!</v>
      </c>
    </row>
    <row r="67" spans="1:7" ht="14.25" customHeight="1">
      <c r="A67" s="29" t="s">
        <v>66</v>
      </c>
      <c r="B67" s="24"/>
      <c r="C67" s="62">
        <v>5000</v>
      </c>
      <c r="D67" s="24"/>
      <c r="E67" s="76">
        <v>15000</v>
      </c>
      <c r="F67" s="104" t="e">
        <v>#REF!</v>
      </c>
      <c r="G67" s="110" t="e">
        <f t="shared" si="2"/>
        <v>#REF!</v>
      </c>
    </row>
    <row r="68" spans="1:7" ht="14.25" customHeight="1">
      <c r="A68" s="29" t="s">
        <v>67</v>
      </c>
      <c r="B68" s="24"/>
      <c r="C68" s="62">
        <v>5000</v>
      </c>
      <c r="D68" s="24"/>
      <c r="E68" s="76">
        <v>15000</v>
      </c>
      <c r="F68" s="104" t="e">
        <v>#REF!</v>
      </c>
      <c r="G68" s="110" t="e">
        <f t="shared" si="2"/>
        <v>#REF!</v>
      </c>
    </row>
    <row r="69" spans="1:7" ht="14.25" customHeight="1">
      <c r="A69" s="32" t="s">
        <v>68</v>
      </c>
      <c r="B69" s="24"/>
      <c r="C69" s="62">
        <v>5000</v>
      </c>
      <c r="D69" s="77">
        <v>2</v>
      </c>
      <c r="E69" s="76">
        <f>D69*'[1]PREMISSAS-PARÂMETROS'!C15</f>
        <v>31988.399999999998</v>
      </c>
      <c r="F69" s="104" t="e">
        <v>#REF!</v>
      </c>
      <c r="G69" s="110" t="e">
        <f t="shared" si="2"/>
        <v>#REF!</v>
      </c>
    </row>
    <row r="70" spans="1:7" s="6" customFormat="1" ht="14.25" customHeight="1">
      <c r="A70" s="99" t="s">
        <v>69</v>
      </c>
      <c r="B70" s="21"/>
      <c r="C70" s="4">
        <f>SUM(C71:C81)</f>
        <v>117200</v>
      </c>
      <c r="D70" s="21"/>
      <c r="E70" s="69">
        <f>SUM(E71:E81)</f>
        <v>248780</v>
      </c>
      <c r="F70" s="69" t="e">
        <f>SUM(F71:F81)</f>
        <v>#REF!</v>
      </c>
      <c r="G70" s="21" t="e">
        <f>SUM(G71:G81)</f>
        <v>#REF!</v>
      </c>
    </row>
    <row r="71" spans="1:7" ht="14.25" customHeight="1">
      <c r="A71" s="29" t="s">
        <v>70</v>
      </c>
      <c r="B71" s="24"/>
      <c r="C71" s="62">
        <v>12000</v>
      </c>
      <c r="D71" s="24"/>
      <c r="E71" s="76">
        <f>('[1]QUADRO PESSOAL'!G75+'[1]QUADRO PESSOAL'!G186)*'[1]PREMISSAS-PARÂMETROS'!C16</f>
        <v>37280</v>
      </c>
      <c r="F71" s="115" t="e">
        <v>#REF!</v>
      </c>
      <c r="G71" s="109" t="e">
        <f aca="true" t="shared" si="3" ref="G71:G79">E71+F71</f>
        <v>#REF!</v>
      </c>
    </row>
    <row r="72" spans="1:7" ht="14.25" customHeight="1">
      <c r="A72" s="29" t="s">
        <v>71</v>
      </c>
      <c r="B72" s="24"/>
      <c r="C72" s="62">
        <v>5000</v>
      </c>
      <c r="D72" s="24"/>
      <c r="E72" s="76">
        <v>20000</v>
      </c>
      <c r="F72" s="116" t="e">
        <v>#REF!</v>
      </c>
      <c r="G72" s="110" t="e">
        <f t="shared" si="3"/>
        <v>#REF!</v>
      </c>
    </row>
    <row r="73" spans="1:7" ht="14.25" customHeight="1" hidden="1">
      <c r="A73" s="29" t="s">
        <v>72</v>
      </c>
      <c r="B73" s="24"/>
      <c r="C73" s="62">
        <v>8000</v>
      </c>
      <c r="D73" s="24"/>
      <c r="E73" s="76">
        <v>0</v>
      </c>
      <c r="F73" s="116">
        <v>0</v>
      </c>
      <c r="G73" s="110">
        <f t="shared" si="3"/>
        <v>0</v>
      </c>
    </row>
    <row r="74" spans="1:7" ht="14.25" customHeight="1">
      <c r="A74" s="29" t="s">
        <v>73</v>
      </c>
      <c r="B74" s="24"/>
      <c r="C74" s="62">
        <v>5000</v>
      </c>
      <c r="D74" s="24"/>
      <c r="E74" s="76">
        <v>25000</v>
      </c>
      <c r="F74" s="116" t="e">
        <v>#REF!</v>
      </c>
      <c r="G74" s="110" t="e">
        <f t="shared" si="3"/>
        <v>#REF!</v>
      </c>
    </row>
    <row r="75" spans="1:7" ht="14.25" customHeight="1">
      <c r="A75" s="29" t="s">
        <v>74</v>
      </c>
      <c r="B75" s="24"/>
      <c r="C75" s="62">
        <v>10500</v>
      </c>
      <c r="D75" s="24"/>
      <c r="E75" s="76">
        <v>20000</v>
      </c>
      <c r="F75" s="116" t="e">
        <v>#REF!</v>
      </c>
      <c r="G75" s="110" t="e">
        <f t="shared" si="3"/>
        <v>#REF!</v>
      </c>
    </row>
    <row r="76" spans="1:7" ht="14.25" customHeight="1">
      <c r="A76" s="29" t="s">
        <v>75</v>
      </c>
      <c r="B76" s="24"/>
      <c r="C76" s="62">
        <v>25000</v>
      </c>
      <c r="D76" s="24"/>
      <c r="E76" s="76">
        <f>25000</f>
        <v>25000</v>
      </c>
      <c r="F76" s="116" t="e">
        <v>#REF!</v>
      </c>
      <c r="G76" s="110" t="e">
        <f t="shared" si="3"/>
        <v>#REF!</v>
      </c>
    </row>
    <row r="77" spans="1:7" ht="14.25" customHeight="1">
      <c r="A77" s="27" t="s">
        <v>97</v>
      </c>
      <c r="B77" s="24"/>
      <c r="C77" s="62">
        <v>2200</v>
      </c>
      <c r="D77" s="24"/>
      <c r="E77" s="76">
        <f>('[1]QUADRO PESSOAL'!G75+'[1]QUADRO PESSOAL'!G186)*'[1]PREMISSAS-PARÂMETROS'!C19</f>
        <v>116500</v>
      </c>
      <c r="F77" s="116" t="e">
        <v>#REF!</v>
      </c>
      <c r="G77" s="110" t="e">
        <f t="shared" si="3"/>
        <v>#REF!</v>
      </c>
    </row>
    <row r="78" spans="1:7" ht="14.25" customHeight="1">
      <c r="A78" s="27" t="s">
        <v>76</v>
      </c>
      <c r="B78" s="33"/>
      <c r="C78" s="78">
        <v>35000</v>
      </c>
      <c r="D78" s="77"/>
      <c r="E78" s="79">
        <v>5000</v>
      </c>
      <c r="F78" s="116" t="e">
        <v>#REF!</v>
      </c>
      <c r="G78" s="110" t="e">
        <f t="shared" si="3"/>
        <v>#REF!</v>
      </c>
    </row>
    <row r="79" spans="1:7" ht="14.25" customHeight="1">
      <c r="A79" s="27" t="s">
        <v>77</v>
      </c>
      <c r="B79" s="24"/>
      <c r="C79" s="58">
        <v>5500</v>
      </c>
      <c r="D79" s="24"/>
      <c r="E79" s="76">
        <v>0</v>
      </c>
      <c r="F79" s="117">
        <v>3000</v>
      </c>
      <c r="G79" s="110">
        <f t="shared" si="3"/>
        <v>3000</v>
      </c>
    </row>
    <row r="80" spans="1:7" ht="14.25" customHeight="1" hidden="1">
      <c r="A80" s="27" t="s">
        <v>78</v>
      </c>
      <c r="B80" s="24"/>
      <c r="C80" s="58">
        <v>4500</v>
      </c>
      <c r="D80" s="24"/>
      <c r="E80" s="76">
        <v>0</v>
      </c>
      <c r="F80" s="80"/>
      <c r="G80" s="112">
        <f aca="true" t="shared" si="4" ref="G80:G93">E80-F80</f>
        <v>0</v>
      </c>
    </row>
    <row r="81" spans="1:7" ht="14.25" customHeight="1" hidden="1">
      <c r="A81" s="34" t="s">
        <v>79</v>
      </c>
      <c r="B81" s="25"/>
      <c r="C81" s="73">
        <v>4500</v>
      </c>
      <c r="D81" s="25"/>
      <c r="E81" s="76">
        <v>0</v>
      </c>
      <c r="F81" s="80"/>
      <c r="G81" s="112">
        <f t="shared" si="4"/>
        <v>0</v>
      </c>
    </row>
    <row r="82" spans="1:7" s="102" customFormat="1" ht="4.5" customHeight="1">
      <c r="A82" s="100"/>
      <c r="B82" s="36"/>
      <c r="C82" s="82"/>
      <c r="D82" s="36"/>
      <c r="E82" s="36"/>
      <c r="F82" s="101"/>
      <c r="G82" s="113"/>
    </row>
    <row r="83" spans="1:7" s="6" customFormat="1" ht="14.25" customHeight="1">
      <c r="A83" s="176" t="s">
        <v>80</v>
      </c>
      <c r="B83" s="177"/>
      <c r="C83" s="4" t="e">
        <f>TRUNC((C6+C21+C29+C70),2)</f>
        <v>#REF!</v>
      </c>
      <c r="D83" s="4"/>
      <c r="E83" s="51">
        <f>E6+E21+E29+E70</f>
        <v>6978184.663866666</v>
      </c>
      <c r="F83" s="51" t="e">
        <f>F6+F21+F29+F70</f>
        <v>#REF!</v>
      </c>
      <c r="G83" s="3" t="e">
        <f>G6+G21+G29+G70</f>
        <v>#REF!</v>
      </c>
    </row>
    <row r="84" spans="1:7" s="102" customFormat="1" ht="4.5" customHeight="1">
      <c r="A84" s="100"/>
      <c r="B84" s="36"/>
      <c r="C84" s="82"/>
      <c r="D84" s="36"/>
      <c r="E84" s="36"/>
      <c r="F84" s="101"/>
      <c r="G84" s="113"/>
    </row>
    <row r="85" spans="1:7" ht="14.25" customHeight="1">
      <c r="A85" s="99" t="s">
        <v>81</v>
      </c>
      <c r="B85" s="37" t="e">
        <f>B86+B93</f>
        <v>#REF!</v>
      </c>
      <c r="C85" s="4" t="e">
        <f>C86+C87+C88</f>
        <v>#REF!</v>
      </c>
      <c r="D85" s="37">
        <f>D86+D93</f>
        <v>10</v>
      </c>
      <c r="E85" s="69">
        <f>SUM(E86:E88)</f>
        <v>697818.46</v>
      </c>
      <c r="F85" s="69" t="e">
        <f>SUM(F86:F88)</f>
        <v>#REF!</v>
      </c>
      <c r="G85" s="21" t="e">
        <f>SUM(G86:G88)</f>
        <v>#REF!</v>
      </c>
    </row>
    <row r="86" spans="1:7" ht="14.25" customHeight="1">
      <c r="A86" s="27" t="s">
        <v>82</v>
      </c>
      <c r="B86" s="28" t="e">
        <f>#REF!</f>
        <v>#REF!</v>
      </c>
      <c r="C86" s="83" t="e">
        <f>+ROUND((C$83*(B86/100)),2)</f>
        <v>#REF!</v>
      </c>
      <c r="D86" s="38">
        <v>10</v>
      </c>
      <c r="E86" s="84">
        <f>TRUNC(((E83)*(D86/100)),2)</f>
        <v>697818.46</v>
      </c>
      <c r="F86" s="104" t="e">
        <v>#REF!</v>
      </c>
      <c r="G86" s="110" t="e">
        <f>E86+F86</f>
        <v>#REF!</v>
      </c>
    </row>
    <row r="87" spans="1:7" ht="14.25" customHeight="1" hidden="1">
      <c r="A87" s="27" t="s">
        <v>83</v>
      </c>
      <c r="B87" s="85" t="e">
        <f>#REF!</f>
        <v>#REF!</v>
      </c>
      <c r="C87" s="83" t="e">
        <f>+ROUND(((C83+C86)*(B87/100)),2)</f>
        <v>#REF!</v>
      </c>
      <c r="D87" s="38">
        <v>0</v>
      </c>
      <c r="E87" s="86">
        <v>0</v>
      </c>
      <c r="F87" s="104">
        <v>0</v>
      </c>
      <c r="G87" s="110">
        <f t="shared" si="4"/>
        <v>0</v>
      </c>
    </row>
    <row r="88" spans="1:7" s="41" customFormat="1" ht="14.25" customHeight="1" hidden="1">
      <c r="A88" s="39" t="s">
        <v>84</v>
      </c>
      <c r="B88" s="40" t="e">
        <f>SUM(B89:B93)</f>
        <v>#REF!</v>
      </c>
      <c r="C88" s="87" t="e">
        <f>ROUND(((C$83+C$86+C$87)/(1-(B88/100)))-(C$83+C$86+C$87),2)</f>
        <v>#REF!</v>
      </c>
      <c r="D88" s="40">
        <f>SUM(D89:D93)</f>
        <v>0</v>
      </c>
      <c r="E88" s="88">
        <f>E94-E83-E86-E87</f>
        <v>0</v>
      </c>
      <c r="F88" s="108">
        <v>0</v>
      </c>
      <c r="G88" s="110">
        <f t="shared" si="4"/>
        <v>0</v>
      </c>
    </row>
    <row r="89" spans="1:7" ht="14.25" customHeight="1" hidden="1">
      <c r="A89" s="42" t="s">
        <v>85</v>
      </c>
      <c r="B89" s="90" t="e">
        <f>#REF!</f>
        <v>#REF!</v>
      </c>
      <c r="C89" s="91" t="e">
        <f>ROUND(((C$94)*(B89/100)),2)</f>
        <v>#REF!</v>
      </c>
      <c r="D89" s="38">
        <v>0</v>
      </c>
      <c r="E89" s="92"/>
      <c r="F89" s="104"/>
      <c r="G89" s="110">
        <f t="shared" si="4"/>
        <v>0</v>
      </c>
    </row>
    <row r="90" spans="1:7" ht="14.25" customHeight="1" hidden="1">
      <c r="A90" s="42" t="s">
        <v>86</v>
      </c>
      <c r="B90" s="90" t="e">
        <f>#REF!</f>
        <v>#REF!</v>
      </c>
      <c r="C90" s="91" t="e">
        <f>ROUND(((C$94)*(B90/100)),2)</f>
        <v>#REF!</v>
      </c>
      <c r="D90" s="38">
        <v>0</v>
      </c>
      <c r="E90" s="92"/>
      <c r="F90" s="104"/>
      <c r="G90" s="110">
        <f t="shared" si="4"/>
        <v>0</v>
      </c>
    </row>
    <row r="91" spans="1:7" ht="14.25" customHeight="1" hidden="1">
      <c r="A91" s="42" t="s">
        <v>87</v>
      </c>
      <c r="B91" s="90" t="e">
        <f>#REF!</f>
        <v>#REF!</v>
      </c>
      <c r="C91" s="91" t="e">
        <f>ROUND(((C$94)*(B91/100)),2)</f>
        <v>#REF!</v>
      </c>
      <c r="D91" s="38">
        <v>0</v>
      </c>
      <c r="E91" s="92"/>
      <c r="F91" s="104"/>
      <c r="G91" s="110">
        <f t="shared" si="4"/>
        <v>0</v>
      </c>
    </row>
    <row r="92" spans="1:7" ht="14.25" customHeight="1" hidden="1">
      <c r="A92" s="42" t="s">
        <v>88</v>
      </c>
      <c r="B92" s="90" t="e">
        <f>#REF!</f>
        <v>#REF!</v>
      </c>
      <c r="C92" s="91" t="e">
        <f>ROUND(((C$94)*(B92/100)),2)</f>
        <v>#REF!</v>
      </c>
      <c r="D92" s="38">
        <v>0</v>
      </c>
      <c r="E92" s="92"/>
      <c r="F92" s="104"/>
      <c r="G92" s="110">
        <f t="shared" si="4"/>
        <v>0</v>
      </c>
    </row>
    <row r="93" spans="1:7" ht="14.25" customHeight="1" hidden="1">
      <c r="A93" s="43" t="s">
        <v>89</v>
      </c>
      <c r="B93" s="93" t="e">
        <f>#REF!</f>
        <v>#REF!</v>
      </c>
      <c r="C93" s="91" t="e">
        <f>ROUND(((C$94)*(B93/100)),2)</f>
        <v>#REF!</v>
      </c>
      <c r="D93" s="44">
        <v>0</v>
      </c>
      <c r="E93" s="94"/>
      <c r="F93" s="105"/>
      <c r="G93" s="111">
        <f t="shared" si="4"/>
        <v>0</v>
      </c>
    </row>
    <row r="94" spans="1:7" ht="14.25" customHeight="1">
      <c r="A94" s="176" t="s">
        <v>90</v>
      </c>
      <c r="B94" s="177"/>
      <c r="C94" s="45" t="e">
        <f>C83+C85</f>
        <v>#REF!</v>
      </c>
      <c r="D94" s="45"/>
      <c r="E94" s="95">
        <f>(E83+E86+E87)/((100-D88)/100)</f>
        <v>7676003.123866666</v>
      </c>
      <c r="F94" s="95" t="e">
        <f>(F83+F86+F87)/((100-E88)/100)</f>
        <v>#REF!</v>
      </c>
      <c r="G94" s="96" t="e">
        <f>(G83+G86+G87)/((100-F88)/100)</f>
        <v>#REF!</v>
      </c>
    </row>
    <row r="95" spans="1:5" ht="8.25" customHeight="1">
      <c r="A95" s="47"/>
      <c r="B95" s="47"/>
      <c r="C95" s="97"/>
      <c r="D95" s="47"/>
      <c r="E95" s="47"/>
    </row>
  </sheetData>
  <sheetProtection/>
  <mergeCells count="12">
    <mergeCell ref="D3:D5"/>
    <mergeCell ref="E4:E5"/>
    <mergeCell ref="A2:G2"/>
    <mergeCell ref="A1:G1"/>
    <mergeCell ref="A83:B83"/>
    <mergeCell ref="A94:B94"/>
    <mergeCell ref="F4:F5"/>
    <mergeCell ref="G4:G5"/>
    <mergeCell ref="E3:G3"/>
    <mergeCell ref="A3:A5"/>
    <mergeCell ref="B3:B5"/>
    <mergeCell ref="C3:C5"/>
  </mergeCells>
  <conditionalFormatting sqref="A12 A16:A18">
    <cfRule type="cellIs" priority="3" dxfId="10" operator="equal" stopIfTrue="1">
      <formula>0</formula>
    </cfRule>
  </conditionalFormatting>
  <conditionalFormatting sqref="A12 A16:A18">
    <cfRule type="cellIs" priority="2" dxfId="10" operator="equal" stopIfTrue="1">
      <formula>0</formula>
    </cfRule>
  </conditionalFormatting>
  <conditionalFormatting sqref="A12 A16:A18">
    <cfRule type="cellIs" priority="1" dxfId="10" operator="equal" stopIfTrue="1">
      <formula>0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F9" sqref="F9"/>
    </sheetView>
  </sheetViews>
  <sheetFormatPr defaultColWidth="9.28125" defaultRowHeight="15"/>
  <cols>
    <col min="1" max="1" width="37.28125" style="156" customWidth="1"/>
    <col min="2" max="2" width="12.7109375" style="157" customWidth="1"/>
    <col min="3" max="3" width="13.57421875" style="157" customWidth="1"/>
    <col min="4" max="4" width="15.7109375" style="156" customWidth="1"/>
    <col min="5" max="5" width="12.7109375" style="156" bestFit="1" customWidth="1"/>
    <col min="6" max="6" width="22.57421875" style="156" customWidth="1"/>
    <col min="7" max="16384" width="9.28125" style="156" customWidth="1"/>
  </cols>
  <sheetData>
    <row r="1" spans="1:4" ht="15.75" customHeight="1">
      <c r="A1" s="212" t="s">
        <v>151</v>
      </c>
      <c r="B1" s="212"/>
      <c r="C1" s="212"/>
      <c r="D1" s="212"/>
    </row>
    <row r="2" spans="1:17" ht="18.75" customHeight="1">
      <c r="A2" s="212"/>
      <c r="B2" s="212"/>
      <c r="C2" s="212"/>
      <c r="D2" s="212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9.5" customHeight="1" thickBot="1">
      <c r="A3" s="212"/>
      <c r="B3" s="212"/>
      <c r="C3" s="212"/>
      <c r="D3" s="212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</row>
    <row r="4" spans="1:17" ht="19.5" customHeight="1" thickBot="1">
      <c r="A4" s="173" t="s">
        <v>152</v>
      </c>
      <c r="B4" s="175"/>
      <c r="C4" s="175"/>
      <c r="D4" s="174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</row>
    <row r="5" spans="1:4" ht="16.5" customHeight="1">
      <c r="A5" s="208" t="s">
        <v>143</v>
      </c>
      <c r="B5" s="210">
        <v>44257</v>
      </c>
      <c r="C5" s="206">
        <v>44288</v>
      </c>
      <c r="D5" s="206" t="s">
        <v>150</v>
      </c>
    </row>
    <row r="6" spans="1:4" ht="16.5" customHeight="1" thickBot="1">
      <c r="A6" s="209"/>
      <c r="B6" s="211"/>
      <c r="C6" s="207"/>
      <c r="D6" s="207"/>
    </row>
    <row r="7" spans="1:4" ht="15">
      <c r="A7" s="158" t="s">
        <v>144</v>
      </c>
      <c r="B7" s="162">
        <v>2695454.08</v>
      </c>
      <c r="C7" s="163">
        <v>2695454.08</v>
      </c>
      <c r="D7" s="163">
        <f aca="true" t="shared" si="0" ref="D7:D13">SUM(B7:C7)</f>
        <v>5390908.16</v>
      </c>
    </row>
    <row r="8" spans="1:4" ht="15">
      <c r="A8" s="159" t="s">
        <v>145</v>
      </c>
      <c r="B8" s="161">
        <v>1497981.17</v>
      </c>
      <c r="C8" s="164">
        <v>1346557.52</v>
      </c>
      <c r="D8" s="164">
        <f t="shared" si="0"/>
        <v>2844538.69</v>
      </c>
    </row>
    <row r="9" spans="1:4" ht="15">
      <c r="A9" s="159" t="s">
        <v>146</v>
      </c>
      <c r="B9" s="161">
        <v>1370391.21</v>
      </c>
      <c r="C9" s="164">
        <v>686122.84</v>
      </c>
      <c r="D9" s="164">
        <f t="shared" si="0"/>
        <v>2056514.0499999998</v>
      </c>
    </row>
    <row r="10" spans="1:4" ht="15">
      <c r="A10" s="159" t="s">
        <v>147</v>
      </c>
      <c r="B10" s="161">
        <v>621868.53</v>
      </c>
      <c r="C10" s="164">
        <v>175812.13</v>
      </c>
      <c r="D10" s="164">
        <f t="shared" si="0"/>
        <v>797680.66</v>
      </c>
    </row>
    <row r="11" spans="1:6" ht="15.75" thickBot="1">
      <c r="A11" s="159" t="s">
        <v>148</v>
      </c>
      <c r="B11" s="160">
        <v>14000</v>
      </c>
      <c r="C11" s="165">
        <v>0</v>
      </c>
      <c r="D11" s="165">
        <f t="shared" si="0"/>
        <v>14000</v>
      </c>
      <c r="E11" s="157"/>
      <c r="F11" s="157"/>
    </row>
    <row r="12" spans="1:6" ht="15.75" thickBot="1">
      <c r="A12" s="169" t="s">
        <v>149</v>
      </c>
      <c r="B12" s="168">
        <f>SUM(B7:B11)</f>
        <v>6199694.99</v>
      </c>
      <c r="C12" s="168">
        <f>SUM(C7:C11)</f>
        <v>4903946.57</v>
      </c>
      <c r="D12" s="165">
        <f t="shared" si="0"/>
        <v>11103641.56</v>
      </c>
      <c r="E12" s="157"/>
      <c r="F12" s="157"/>
    </row>
    <row r="13" spans="1:6" ht="15.75" thickBot="1">
      <c r="A13" s="166" t="s">
        <v>153</v>
      </c>
      <c r="B13" s="170"/>
      <c r="C13" s="171"/>
      <c r="D13" s="172">
        <f t="shared" si="0"/>
        <v>0</v>
      </c>
      <c r="F13" s="157"/>
    </row>
    <row r="15" ht="15">
      <c r="D15" s="157"/>
    </row>
  </sheetData>
  <sheetProtection/>
  <mergeCells count="5">
    <mergeCell ref="D5:D6"/>
    <mergeCell ref="A1:D3"/>
    <mergeCell ref="A5:A6"/>
    <mergeCell ref="B5:B6"/>
    <mergeCell ref="C5:C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ideiaslenovo03@ideiasrj.org.br</cp:lastModifiedBy>
  <cp:lastPrinted>2021-01-25T18:42:50Z</cp:lastPrinted>
  <dcterms:created xsi:type="dcterms:W3CDTF">2020-03-19T16:00:29Z</dcterms:created>
  <dcterms:modified xsi:type="dcterms:W3CDTF">2021-06-24T00:09:40Z</dcterms:modified>
  <cp:category/>
  <cp:version/>
  <cp:contentType/>
  <cp:contentStatus/>
</cp:coreProperties>
</file>